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桌面\"/>
    </mc:Choice>
  </mc:AlternateContent>
  <bookViews>
    <workbookView xWindow="0" yWindow="0" windowWidth="23040" windowHeight="9375" tabRatio="878" firstSheet="38" activeTab="39"/>
  </bookViews>
  <sheets>
    <sheet name="目录" sheetId="43" r:id="rId1"/>
    <sheet name="汇总收执" sheetId="1" r:id="rId2"/>
    <sheet name="汇总支执" sheetId="2" r:id="rId3"/>
    <sheet name="本级收执" sheetId="3" r:id="rId4"/>
    <sheet name="本级支执" sheetId="4" r:id="rId5"/>
    <sheet name="汇总基收执" sheetId="5" r:id="rId6"/>
    <sheet name="汇总基支执" sheetId="6" r:id="rId7"/>
    <sheet name="本级基金收执" sheetId="7" r:id="rId8"/>
    <sheet name="本级基金支执" sheetId="8" r:id="rId9"/>
    <sheet name="国有资本执行总表" sheetId="9" r:id="rId10"/>
    <sheet name="社保执行总表" sheetId="10" r:id="rId11"/>
    <sheet name="汇总收预" sheetId="11" r:id="rId12"/>
    <sheet name="汇总支预" sheetId="12" r:id="rId13"/>
    <sheet name="汇总平衡" sheetId="13" r:id="rId14"/>
    <sheet name="本级收预" sheetId="14" r:id="rId15"/>
    <sheet name="本级支预" sheetId="15" r:id="rId16"/>
    <sheet name="本级平衡" sheetId="16" r:id="rId17"/>
    <sheet name="2019市本级支出明细表 " sheetId="17" r:id="rId18"/>
    <sheet name="2019基本支出明细表" sheetId="18" r:id="rId19"/>
    <sheet name="汇总基收预" sheetId="19" r:id="rId20"/>
    <sheet name="汇总基支预" sheetId="20" r:id="rId21"/>
    <sheet name="本级基收预" sheetId="21" r:id="rId22"/>
    <sheet name="本级基支预" sheetId="22" r:id="rId23"/>
    <sheet name="国资预算总表" sheetId="23" r:id="rId24"/>
    <sheet name="国资收入预算" sheetId="24" r:id="rId25"/>
    <sheet name="国资支出预算" sheetId="25" r:id="rId26"/>
    <sheet name="2019年社保预算总表" sheetId="26" r:id="rId27"/>
    <sheet name="社保基金收入表" sheetId="41" r:id="rId28"/>
    <sheet name="社保基金支出表" sheetId="42" r:id="rId29"/>
    <sheet name="企业养老收支表" sheetId="27" r:id="rId30"/>
    <sheet name="机关事业养老保险收支表" sheetId="28" r:id="rId31"/>
    <sheet name="失业收支表" sheetId="29" r:id="rId32"/>
    <sheet name="医疗收支表" sheetId="30" r:id="rId33"/>
    <sheet name="工伤收支表" sheetId="31" r:id="rId34"/>
    <sheet name="生育收支表" sheetId="32" r:id="rId35"/>
    <sheet name="税收返还和转移支付表" sheetId="33" r:id="rId36"/>
    <sheet name="税收返还分地区" sheetId="34" r:id="rId37"/>
    <sheet name="专项转移支付分地区" sheetId="35" r:id="rId38"/>
    <sheet name="政府性基金预算转移支付情况表" sheetId="36" r:id="rId39"/>
    <sheet name="基金预算转移支付分地区" sheetId="37" r:id="rId40"/>
    <sheet name="2019年市本级政府预算重点民生项目表" sheetId="40" r:id="rId41"/>
    <sheet name="一般债务限额余额表" sheetId="44" r:id="rId42"/>
    <sheet name="专项债务限额余额表" sheetId="45" r:id="rId43"/>
  </sheets>
  <externalReferences>
    <externalReference r:id="rId44"/>
    <externalReference r:id="rId45"/>
    <externalReference r:id="rId46"/>
    <externalReference r:id="rId47"/>
    <externalReference r:id="rId48"/>
  </externalReferences>
  <definedNames>
    <definedName name="_" localSheetId="18">#REF!</definedName>
    <definedName name="_" localSheetId="17">#REF!</definedName>
    <definedName name="_" localSheetId="39">#REF!</definedName>
    <definedName name="_" localSheetId="0">#REF!</definedName>
    <definedName name="_" localSheetId="36">#REF!</definedName>
    <definedName name="_" localSheetId="35">#REF!</definedName>
    <definedName name="_" localSheetId="38">#REF!</definedName>
    <definedName name="_" localSheetId="37">#REF!</definedName>
    <definedName name="_">#REF!</definedName>
    <definedName name="_6_其他" localSheetId="18">#REF!</definedName>
    <definedName name="_6_其他" localSheetId="17">#REF!</definedName>
    <definedName name="_6_其他" localSheetId="16">#REF!</definedName>
    <definedName name="_6_其他" localSheetId="39">#REF!</definedName>
    <definedName name="_6_其他" localSheetId="0">#REF!</definedName>
    <definedName name="_6_其他" localSheetId="36">#REF!</definedName>
    <definedName name="_6_其他" localSheetId="35">#REF!</definedName>
    <definedName name="_6_其他" localSheetId="38">#REF!</definedName>
    <definedName name="_6_其他" localSheetId="37">#REF!</definedName>
    <definedName name="_6_其他">#REF!</definedName>
    <definedName name="_Order1" hidden="1">255</definedName>
    <definedName name="_Order2" hidden="1">255</definedName>
    <definedName name="BM8_SelectZBM.BM8_ZBMChangeKMM" localSheetId="18">[1]!BM8_SelectZBM.BM8_ZBMChangeKMM</definedName>
    <definedName name="BM8_SelectZBM.BM8_ZBMChangeKMM" localSheetId="17">[1]!BM8_SelectZBM.BM8_ZBMChangeKMM</definedName>
    <definedName name="BM8_SelectZBM.BM8_ZBMChangeKMM" localSheetId="39">[2]!BM8_SelectZBM.BM8_ZBMChangeKMM</definedName>
    <definedName name="BM8_SelectZBM.BM8_ZBMChangeKMM" localSheetId="0">[3]!BM8_SelectZBM.BM8_ZBMChangeKMM</definedName>
    <definedName name="BM8_SelectZBM.BM8_ZBMChangeKMM" localSheetId="36">[2]!BM8_SelectZBM.BM8_ZBMChangeKMM</definedName>
    <definedName name="BM8_SelectZBM.BM8_ZBMChangeKMM" localSheetId="35">[2]!BM8_SelectZBM.BM8_ZBMChangeKMM</definedName>
    <definedName name="BM8_SelectZBM.BM8_ZBMChangeKMM" localSheetId="38">[2]!BM8_SelectZBM.BM8_ZBMChangeKMM</definedName>
    <definedName name="BM8_SelectZBM.BM8_ZBMChangeKMM" localSheetId="37">[2]!BM8_SelectZBM.BM8_ZBMChangeKMM</definedName>
    <definedName name="BM8_SelectZBM.BM8_ZBMChangeKMM">[3]!BM8_SelectZBM.BM8_ZBMChangeKMM</definedName>
    <definedName name="BM8_SelectZBM.BM8_ZBMminusOption" localSheetId="18">[1]!BM8_SelectZBM.BM8_ZBMminusOption</definedName>
    <definedName name="BM8_SelectZBM.BM8_ZBMminusOption" localSheetId="17">[1]!BM8_SelectZBM.BM8_ZBMminusOption</definedName>
    <definedName name="BM8_SelectZBM.BM8_ZBMminusOption" localSheetId="39">[2]!BM8_SelectZBM.BM8_ZBMminusOption</definedName>
    <definedName name="BM8_SelectZBM.BM8_ZBMminusOption" localSheetId="0">[3]!BM8_SelectZBM.BM8_ZBMminusOption</definedName>
    <definedName name="BM8_SelectZBM.BM8_ZBMminusOption" localSheetId="36">[2]!BM8_SelectZBM.BM8_ZBMminusOption</definedName>
    <definedName name="BM8_SelectZBM.BM8_ZBMminusOption" localSheetId="35">[2]!BM8_SelectZBM.BM8_ZBMminusOption</definedName>
    <definedName name="BM8_SelectZBM.BM8_ZBMminusOption" localSheetId="38">[2]!BM8_SelectZBM.BM8_ZBMminusOption</definedName>
    <definedName name="BM8_SelectZBM.BM8_ZBMminusOption" localSheetId="37">[2]!BM8_SelectZBM.BM8_ZBMminusOption</definedName>
    <definedName name="BM8_SelectZBM.BM8_ZBMminusOption">[3]!BM8_SelectZBM.BM8_ZBMminusOption</definedName>
    <definedName name="BM8_SelectZBM.BM8_ZBMSumOption" localSheetId="18">[1]!BM8_SelectZBM.BM8_ZBMSumOption</definedName>
    <definedName name="BM8_SelectZBM.BM8_ZBMSumOption" localSheetId="17">[1]!BM8_SelectZBM.BM8_ZBMSumOption</definedName>
    <definedName name="BM8_SelectZBM.BM8_ZBMSumOption" localSheetId="39">[2]!BM8_SelectZBM.BM8_ZBMSumOption</definedName>
    <definedName name="BM8_SelectZBM.BM8_ZBMSumOption" localSheetId="0">[3]!BM8_SelectZBM.BM8_ZBMSumOption</definedName>
    <definedName name="BM8_SelectZBM.BM8_ZBMSumOption" localSheetId="36">[2]!BM8_SelectZBM.BM8_ZBMSumOption</definedName>
    <definedName name="BM8_SelectZBM.BM8_ZBMSumOption" localSheetId="35">[2]!BM8_SelectZBM.BM8_ZBMSumOption</definedName>
    <definedName name="BM8_SelectZBM.BM8_ZBMSumOption" localSheetId="38">[2]!BM8_SelectZBM.BM8_ZBMSumOption</definedName>
    <definedName name="BM8_SelectZBM.BM8_ZBMSumOption" localSheetId="37">[2]!BM8_SelectZBM.BM8_ZBMSumOption</definedName>
    <definedName name="BM8_SelectZBM.BM8_ZBMSumOption">[3]!BM8_SelectZBM.BM8_ZBMSumOption</definedName>
    <definedName name="d" localSheetId="18">#REF!</definedName>
    <definedName name="d" localSheetId="17">#REF!</definedName>
    <definedName name="d" localSheetId="16">#REF!</definedName>
    <definedName name="d" localSheetId="0">#REF!</definedName>
    <definedName name="d">#REF!</definedName>
    <definedName name="_xlnm.Database" localSheetId="18" hidden="1">#REF!</definedName>
    <definedName name="_xlnm.Database" localSheetId="17" hidden="1">#REF!</definedName>
    <definedName name="_xlnm.Database" localSheetId="14" hidden="1">#REF!</definedName>
    <definedName name="_xlnm.Database" localSheetId="15" hidden="1">#REF!</definedName>
    <definedName name="_xlnm.Database" localSheetId="5" hidden="1">#REF!</definedName>
    <definedName name="_xlnm.Database" localSheetId="11" hidden="1">#REF!</definedName>
    <definedName name="_xlnm.Database" localSheetId="1" hidden="1">#REF!</definedName>
    <definedName name="_xlnm.Database" localSheetId="12" hidden="1">#REF!</definedName>
    <definedName name="_xlnm.Database" localSheetId="39" hidden="1">#REF!</definedName>
    <definedName name="_xlnm.Database" localSheetId="0" hidden="1">#REF!</definedName>
    <definedName name="_xlnm.Database" localSheetId="36" hidden="1">#REF!</definedName>
    <definedName name="_xlnm.Database" localSheetId="35" hidden="1">#REF!</definedName>
    <definedName name="_xlnm.Database" localSheetId="38" hidden="1">#REF!</definedName>
    <definedName name="_xlnm.Database" localSheetId="37" hidden="1">#REF!</definedName>
    <definedName name="_xlnm.Database" hidden="1">#REF!</definedName>
    <definedName name="jhvgh" localSheetId="18">#REF!</definedName>
    <definedName name="jhvgh" localSheetId="17">#REF!</definedName>
    <definedName name="jhvgh" localSheetId="16">#REF!</definedName>
    <definedName name="jhvgh" localSheetId="0">#REF!</definedName>
    <definedName name="jhvgh">#REF!</definedName>
    <definedName name="_xlnm.Print_Area" localSheetId="7">本级基金收执!$A$1:$F$17</definedName>
    <definedName name="_xlnm.Print_Area" localSheetId="8">本级基金支执!$A$1:$F$14</definedName>
    <definedName name="_xlnm.Print_Area" localSheetId="14">本级收预!$A$1:$D$42</definedName>
    <definedName name="_xlnm.Print_Area" localSheetId="3">本级收执!$A$1:$F$42</definedName>
    <definedName name="_xlnm.Print_Area" localSheetId="15">本级支预!$A$1:$D$31</definedName>
    <definedName name="_xlnm.Print_Area" localSheetId="4">本级支执!$A$1:$D$26</definedName>
    <definedName name="_xlnm.Print_Area" localSheetId="23">国资预算总表!$A$1:$D$21</definedName>
    <definedName name="_xlnm.Print_Area" localSheetId="25">国资支出预算!$A$1:$E$21</definedName>
    <definedName name="_xlnm.Print_Area" localSheetId="19">汇总基收预!$A$1:$D$19</definedName>
    <definedName name="_xlnm.Print_Area" localSheetId="5">汇总基收执!$A$1:$F$22</definedName>
    <definedName name="_xlnm.Print_Area" localSheetId="20">汇总基支预!$A$1:$D$29</definedName>
    <definedName name="_xlnm.Print_Area" localSheetId="6">汇总基支执!$A$1:$F$14</definedName>
    <definedName name="_xlnm.Print_Area" localSheetId="11">汇总收预!$A$1:$D$42</definedName>
    <definedName name="_xlnm.Print_Area" localSheetId="1">汇总收执!$A$1:$F$42</definedName>
    <definedName name="_xlnm.Print_Area" localSheetId="12">汇总支预!$A$1:$D$26</definedName>
    <definedName name="_xlnm.Print_Area" localSheetId="2">汇总支执!$A$1:$D$26</definedName>
    <definedName name="_xlnm.Print_Area" hidden="1">#N/A</definedName>
    <definedName name="_xlnm.Print_Titles" localSheetId="40">'2019年市本级政府预算重点民生项目表'!$1:$3</definedName>
    <definedName name="_xlnm.Print_Titles" localSheetId="8">本级基金支执!$1:3</definedName>
    <definedName name="_xlnm.Print_Titles" localSheetId="15">本级支预!$A:A,本级支预!$1:3</definedName>
    <definedName name="_xlnm.Print_Titles" localSheetId="5">汇总基收执!$A:A,汇总基收执!$1:3</definedName>
    <definedName name="_xlnm.Print_Titles" localSheetId="1">汇总收执!$A:A,汇总收执!$1:3</definedName>
    <definedName name="_xlnm.Print_Titles" localSheetId="12">汇总支预!$A:A,汇总支预!$1:3</definedName>
    <definedName name="_xlnm.Print_Titles" localSheetId="35">税收返还和转移支付表!$1:$3</definedName>
    <definedName name="_xlnm.Print_Titles" hidden="1">#N/A</definedName>
    <definedName name="QUERY2" localSheetId="18">#REF!</definedName>
    <definedName name="QUERY2" localSheetId="17">#REF!</definedName>
    <definedName name="QUERY2" localSheetId="39">#REF!</definedName>
    <definedName name="QUERY2" localSheetId="0">#REF!</definedName>
    <definedName name="QUERY2" localSheetId="36">#REF!</definedName>
    <definedName name="QUERY2" localSheetId="35">#REF!</definedName>
    <definedName name="QUERY2" localSheetId="38">#REF!</definedName>
    <definedName name="QUERY2" localSheetId="37">#REF!</definedName>
    <definedName name="QUERY2">#REF!</definedName>
    <definedName name="本级支执222" localSheetId="18">#REF!</definedName>
    <definedName name="本级支执222" localSheetId="17">#REF!</definedName>
    <definedName name="本级支执222" localSheetId="0">#REF!</definedName>
    <definedName name="本级支执222">#REF!</definedName>
    <definedName name="陈伟" localSheetId="0">#REF!</definedName>
    <definedName name="陈伟">#REF!</definedName>
    <definedName name="大通湖支出" localSheetId="18">#REF!</definedName>
    <definedName name="大通湖支出" localSheetId="17">#REF!</definedName>
    <definedName name="大通湖支出" localSheetId="0">#REF!</definedName>
    <definedName name="大通湖支出">#REF!</definedName>
    <definedName name="地区名称" localSheetId="18">#REF!</definedName>
    <definedName name="地区名称" localSheetId="17">#REF!</definedName>
    <definedName name="地区名称" localSheetId="0">#REF!</definedName>
    <definedName name="地区名称">#REF!</definedName>
    <definedName name="工" localSheetId="18">#REF!</definedName>
    <definedName name="工" localSheetId="17">#REF!</definedName>
    <definedName name="工" localSheetId="0">#REF!</definedName>
    <definedName name="工">#REF!</definedName>
    <definedName name="购车" localSheetId="18">#REF!</definedName>
    <definedName name="购车" localSheetId="17">#REF!</definedName>
    <definedName name="购车" localSheetId="39">#REF!</definedName>
    <definedName name="购车" localSheetId="0">#REF!</definedName>
    <definedName name="购车" localSheetId="36">#REF!</definedName>
    <definedName name="购车" localSheetId="35">#REF!</definedName>
    <definedName name="购车" localSheetId="38">#REF!</definedName>
    <definedName name="购车" localSheetId="37">#REF!</definedName>
    <definedName name="购车">#REF!</definedName>
    <definedName name="胡局长汇报修改" localSheetId="0">#REF!</definedName>
    <definedName name="胡局长汇报修改">#REF!</definedName>
    <definedName name="汇率" localSheetId="18">#REF!</definedName>
    <definedName name="汇率" localSheetId="17">#REF!</definedName>
    <definedName name="汇率" localSheetId="39">#REF!</definedName>
    <definedName name="汇率" localSheetId="0">#REF!</definedName>
    <definedName name="汇率" localSheetId="36">#REF!</definedName>
    <definedName name="汇率" localSheetId="35">#REF!</definedName>
    <definedName name="汇率" localSheetId="38">#REF!</definedName>
    <definedName name="汇率" localSheetId="37">#REF!</definedName>
    <definedName name="汇率">#REF!</definedName>
    <definedName name="生产列1" localSheetId="18">#REF!</definedName>
    <definedName name="生产列1" localSheetId="17">#REF!</definedName>
    <definedName name="生产列1" localSheetId="39">#REF!</definedName>
    <definedName name="生产列1" localSheetId="0">#REF!</definedName>
    <definedName name="生产列1" localSheetId="36">#REF!</definedName>
    <definedName name="生产列1" localSheetId="35">#REF!</definedName>
    <definedName name="生产列1" localSheetId="38">#REF!</definedName>
    <definedName name="生产列1" localSheetId="37">#REF!</definedName>
    <definedName name="生产列1">#REF!</definedName>
    <definedName name="生产列11" localSheetId="18">#REF!</definedName>
    <definedName name="生产列11" localSheetId="17">#REF!</definedName>
    <definedName name="生产列11" localSheetId="39">#REF!</definedName>
    <definedName name="生产列11" localSheetId="0">#REF!</definedName>
    <definedName name="生产列11" localSheetId="36">#REF!</definedName>
    <definedName name="生产列11" localSheetId="35">#REF!</definedName>
    <definedName name="生产列11" localSheetId="38">#REF!</definedName>
    <definedName name="生产列11" localSheetId="37">#REF!</definedName>
    <definedName name="生产列11">#REF!</definedName>
    <definedName name="生产列15" localSheetId="18">#REF!</definedName>
    <definedName name="生产列15" localSheetId="17">#REF!</definedName>
    <definedName name="生产列15" localSheetId="39">#REF!</definedName>
    <definedName name="生产列15" localSheetId="0">#REF!</definedName>
    <definedName name="生产列15" localSheetId="36">#REF!</definedName>
    <definedName name="生产列15" localSheetId="35">#REF!</definedName>
    <definedName name="生产列15" localSheetId="38">#REF!</definedName>
    <definedName name="生产列15" localSheetId="37">#REF!</definedName>
    <definedName name="生产列15">#REF!</definedName>
    <definedName name="生产列16" localSheetId="18">#REF!</definedName>
    <definedName name="生产列16" localSheetId="17">#REF!</definedName>
    <definedName name="生产列16" localSheetId="39">#REF!</definedName>
    <definedName name="生产列16" localSheetId="0">#REF!</definedName>
    <definedName name="生产列16" localSheetId="36">#REF!</definedName>
    <definedName name="生产列16" localSheetId="35">#REF!</definedName>
    <definedName name="生产列16" localSheetId="38">#REF!</definedName>
    <definedName name="生产列16" localSheetId="37">#REF!</definedName>
    <definedName name="生产列16">#REF!</definedName>
    <definedName name="生产列17" localSheetId="18">#REF!</definedName>
    <definedName name="生产列17" localSheetId="17">#REF!</definedName>
    <definedName name="生产列17" localSheetId="39">#REF!</definedName>
    <definedName name="生产列17" localSheetId="0">#REF!</definedName>
    <definedName name="生产列17" localSheetId="36">#REF!</definedName>
    <definedName name="生产列17" localSheetId="35">#REF!</definedName>
    <definedName name="生产列17" localSheetId="38">#REF!</definedName>
    <definedName name="生产列17" localSheetId="37">#REF!</definedName>
    <definedName name="生产列17">#REF!</definedName>
    <definedName name="生产列19" localSheetId="18">#REF!</definedName>
    <definedName name="生产列19" localSheetId="17">#REF!</definedName>
    <definedName name="生产列19" localSheetId="39">#REF!</definedName>
    <definedName name="生产列19" localSheetId="0">#REF!</definedName>
    <definedName name="生产列19" localSheetId="36">#REF!</definedName>
    <definedName name="生产列19" localSheetId="35">#REF!</definedName>
    <definedName name="生产列19" localSheetId="38">#REF!</definedName>
    <definedName name="生产列19" localSheetId="37">#REF!</definedName>
    <definedName name="生产列19">#REF!</definedName>
    <definedName name="生产列2" localSheetId="18">#REF!</definedName>
    <definedName name="生产列2" localSheetId="17">#REF!</definedName>
    <definedName name="生产列2" localSheetId="39">#REF!</definedName>
    <definedName name="生产列2" localSheetId="0">#REF!</definedName>
    <definedName name="生产列2" localSheetId="36">#REF!</definedName>
    <definedName name="生产列2" localSheetId="35">#REF!</definedName>
    <definedName name="生产列2" localSheetId="38">#REF!</definedName>
    <definedName name="生产列2" localSheetId="37">#REF!</definedName>
    <definedName name="生产列2">#REF!</definedName>
    <definedName name="生产列20" localSheetId="18">#REF!</definedName>
    <definedName name="生产列20" localSheetId="17">#REF!</definedName>
    <definedName name="生产列20" localSheetId="39">#REF!</definedName>
    <definedName name="生产列20" localSheetId="0">#REF!</definedName>
    <definedName name="生产列20" localSheetId="36">#REF!</definedName>
    <definedName name="生产列20" localSheetId="35">#REF!</definedName>
    <definedName name="生产列20" localSheetId="38">#REF!</definedName>
    <definedName name="生产列20" localSheetId="37">#REF!</definedName>
    <definedName name="生产列20">#REF!</definedName>
    <definedName name="生产列3" localSheetId="18">#REF!</definedName>
    <definedName name="生产列3" localSheetId="17">#REF!</definedName>
    <definedName name="生产列3" localSheetId="39">#REF!</definedName>
    <definedName name="生产列3" localSheetId="0">#REF!</definedName>
    <definedName name="生产列3" localSheetId="36">#REF!</definedName>
    <definedName name="生产列3" localSheetId="35">#REF!</definedName>
    <definedName name="生产列3" localSheetId="38">#REF!</definedName>
    <definedName name="生产列3" localSheetId="37">#REF!</definedName>
    <definedName name="生产列3">#REF!</definedName>
    <definedName name="生产列4" localSheetId="18">#REF!</definedName>
    <definedName name="生产列4" localSheetId="17">#REF!</definedName>
    <definedName name="生产列4" localSheetId="39">#REF!</definedName>
    <definedName name="生产列4" localSheetId="0">#REF!</definedName>
    <definedName name="生产列4" localSheetId="36">#REF!</definedName>
    <definedName name="生产列4" localSheetId="35">#REF!</definedName>
    <definedName name="生产列4" localSheetId="38">#REF!</definedName>
    <definedName name="生产列4" localSheetId="37">#REF!</definedName>
    <definedName name="生产列4">#REF!</definedName>
    <definedName name="生产列5" localSheetId="18">#REF!</definedName>
    <definedName name="生产列5" localSheetId="17">#REF!</definedName>
    <definedName name="生产列5" localSheetId="39">#REF!</definedName>
    <definedName name="生产列5" localSheetId="0">#REF!</definedName>
    <definedName name="生产列5" localSheetId="36">#REF!</definedName>
    <definedName name="生产列5" localSheetId="35">#REF!</definedName>
    <definedName name="生产列5" localSheetId="38">#REF!</definedName>
    <definedName name="生产列5" localSheetId="37">#REF!</definedName>
    <definedName name="生产列5">#REF!</definedName>
    <definedName name="生产列6" localSheetId="18">#REF!</definedName>
    <definedName name="生产列6" localSheetId="17">#REF!</definedName>
    <definedName name="生产列6" localSheetId="39">#REF!</definedName>
    <definedName name="生产列6" localSheetId="0">#REF!</definedName>
    <definedName name="生产列6" localSheetId="36">#REF!</definedName>
    <definedName name="生产列6" localSheetId="35">#REF!</definedName>
    <definedName name="生产列6" localSheetId="38">#REF!</definedName>
    <definedName name="生产列6" localSheetId="37">#REF!</definedName>
    <definedName name="生产列6">#REF!</definedName>
    <definedName name="生产列7" localSheetId="18">#REF!</definedName>
    <definedName name="生产列7" localSheetId="17">#REF!</definedName>
    <definedName name="生产列7" localSheetId="39">#REF!</definedName>
    <definedName name="生产列7" localSheetId="0">#REF!</definedName>
    <definedName name="生产列7" localSheetId="36">#REF!</definedName>
    <definedName name="生产列7" localSheetId="35">#REF!</definedName>
    <definedName name="生产列7" localSheetId="38">#REF!</definedName>
    <definedName name="生产列7" localSheetId="37">#REF!</definedName>
    <definedName name="生产列7">#REF!</definedName>
    <definedName name="生产列8" localSheetId="18">#REF!</definedName>
    <definedName name="生产列8" localSheetId="17">#REF!</definedName>
    <definedName name="生产列8" localSheetId="39">#REF!</definedName>
    <definedName name="生产列8" localSheetId="0">#REF!</definedName>
    <definedName name="生产列8" localSheetId="36">#REF!</definedName>
    <definedName name="生产列8" localSheetId="35">#REF!</definedName>
    <definedName name="生产列8" localSheetId="38">#REF!</definedName>
    <definedName name="生产列8" localSheetId="37">#REF!</definedName>
    <definedName name="生产列8">#REF!</definedName>
    <definedName name="生产列9" localSheetId="18">#REF!</definedName>
    <definedName name="生产列9" localSheetId="17">#REF!</definedName>
    <definedName name="生产列9" localSheetId="39">#REF!</definedName>
    <definedName name="生产列9" localSheetId="0">#REF!</definedName>
    <definedName name="生产列9" localSheetId="36">#REF!</definedName>
    <definedName name="生产列9" localSheetId="35">#REF!</definedName>
    <definedName name="生产列9" localSheetId="38">#REF!</definedName>
    <definedName name="生产列9" localSheetId="37">#REF!</definedName>
    <definedName name="生产列9">#REF!</definedName>
    <definedName name="生产期" localSheetId="18">#REF!</definedName>
    <definedName name="生产期" localSheetId="17">#REF!</definedName>
    <definedName name="生产期" localSheetId="39">#REF!</definedName>
    <definedName name="生产期" localSheetId="0">#REF!</definedName>
    <definedName name="生产期" localSheetId="36">#REF!</definedName>
    <definedName name="生产期" localSheetId="35">#REF!</definedName>
    <definedName name="生产期" localSheetId="38">#REF!</definedName>
    <definedName name="生产期" localSheetId="37">#REF!</definedName>
    <definedName name="生产期">#REF!</definedName>
    <definedName name="生产期1" localSheetId="18">#REF!</definedName>
    <definedName name="生产期1" localSheetId="17">#REF!</definedName>
    <definedName name="生产期1" localSheetId="39">#REF!</definedName>
    <definedName name="生产期1" localSheetId="0">#REF!</definedName>
    <definedName name="生产期1" localSheetId="36">#REF!</definedName>
    <definedName name="生产期1" localSheetId="35">#REF!</definedName>
    <definedName name="生产期1" localSheetId="38">#REF!</definedName>
    <definedName name="生产期1" localSheetId="37">#REF!</definedName>
    <definedName name="生产期1">#REF!</definedName>
    <definedName name="生产期11" localSheetId="18">#REF!</definedName>
    <definedName name="生产期11" localSheetId="17">#REF!</definedName>
    <definedName name="生产期11" localSheetId="39">#REF!</definedName>
    <definedName name="生产期11" localSheetId="0">#REF!</definedName>
    <definedName name="生产期11" localSheetId="36">#REF!</definedName>
    <definedName name="生产期11" localSheetId="35">#REF!</definedName>
    <definedName name="生产期11" localSheetId="38">#REF!</definedName>
    <definedName name="生产期11" localSheetId="37">#REF!</definedName>
    <definedName name="生产期11">#REF!</definedName>
    <definedName name="生产期15" localSheetId="18">#REF!</definedName>
    <definedName name="生产期15" localSheetId="17">#REF!</definedName>
    <definedName name="生产期15" localSheetId="39">#REF!</definedName>
    <definedName name="生产期15" localSheetId="0">#REF!</definedName>
    <definedName name="生产期15" localSheetId="36">#REF!</definedName>
    <definedName name="生产期15" localSheetId="35">#REF!</definedName>
    <definedName name="生产期15" localSheetId="38">#REF!</definedName>
    <definedName name="生产期15" localSheetId="37">#REF!</definedName>
    <definedName name="生产期15">#REF!</definedName>
    <definedName name="生产期16" localSheetId="18">#REF!</definedName>
    <definedName name="生产期16" localSheetId="17">#REF!</definedName>
    <definedName name="生产期16" localSheetId="39">#REF!</definedName>
    <definedName name="生产期16" localSheetId="0">#REF!</definedName>
    <definedName name="生产期16" localSheetId="36">#REF!</definedName>
    <definedName name="生产期16" localSheetId="35">#REF!</definedName>
    <definedName name="生产期16" localSheetId="38">#REF!</definedName>
    <definedName name="生产期16" localSheetId="37">#REF!</definedName>
    <definedName name="生产期16">#REF!</definedName>
    <definedName name="生产期17" localSheetId="18">#REF!</definedName>
    <definedName name="生产期17" localSheetId="17">#REF!</definedName>
    <definedName name="生产期17" localSheetId="39">#REF!</definedName>
    <definedName name="生产期17" localSheetId="0">#REF!</definedName>
    <definedName name="生产期17" localSheetId="36">#REF!</definedName>
    <definedName name="生产期17" localSheetId="35">#REF!</definedName>
    <definedName name="生产期17" localSheetId="38">#REF!</definedName>
    <definedName name="生产期17" localSheetId="37">#REF!</definedName>
    <definedName name="生产期17">#REF!</definedName>
    <definedName name="生产期19" localSheetId="18">#REF!</definedName>
    <definedName name="生产期19" localSheetId="17">#REF!</definedName>
    <definedName name="生产期19" localSheetId="39">#REF!</definedName>
    <definedName name="生产期19" localSheetId="0">#REF!</definedName>
    <definedName name="生产期19" localSheetId="36">#REF!</definedName>
    <definedName name="生产期19" localSheetId="35">#REF!</definedName>
    <definedName name="生产期19" localSheetId="38">#REF!</definedName>
    <definedName name="生产期19" localSheetId="37">#REF!</definedName>
    <definedName name="生产期19">#REF!</definedName>
    <definedName name="生产期2" localSheetId="18">#REF!</definedName>
    <definedName name="生产期2" localSheetId="17">#REF!</definedName>
    <definedName name="生产期2" localSheetId="39">#REF!</definedName>
    <definedName name="生产期2" localSheetId="0">#REF!</definedName>
    <definedName name="生产期2" localSheetId="36">#REF!</definedName>
    <definedName name="生产期2" localSheetId="35">#REF!</definedName>
    <definedName name="生产期2" localSheetId="38">#REF!</definedName>
    <definedName name="生产期2" localSheetId="37">#REF!</definedName>
    <definedName name="生产期2">#REF!</definedName>
    <definedName name="生产期20" localSheetId="18">#REF!</definedName>
    <definedName name="生产期20" localSheetId="17">#REF!</definedName>
    <definedName name="生产期20" localSheetId="39">#REF!</definedName>
    <definedName name="生产期20" localSheetId="0">#REF!</definedName>
    <definedName name="生产期20" localSheetId="36">#REF!</definedName>
    <definedName name="生产期20" localSheetId="35">#REF!</definedName>
    <definedName name="生产期20" localSheetId="38">#REF!</definedName>
    <definedName name="生产期20" localSheetId="37">#REF!</definedName>
    <definedName name="生产期20">#REF!</definedName>
    <definedName name="生产期3" localSheetId="18">#REF!</definedName>
    <definedName name="生产期3" localSheetId="17">#REF!</definedName>
    <definedName name="生产期3" localSheetId="39">#REF!</definedName>
    <definedName name="生产期3" localSheetId="0">#REF!</definedName>
    <definedName name="生产期3" localSheetId="36">#REF!</definedName>
    <definedName name="生产期3" localSheetId="35">#REF!</definedName>
    <definedName name="生产期3" localSheetId="38">#REF!</definedName>
    <definedName name="生产期3" localSheetId="37">#REF!</definedName>
    <definedName name="生产期3">#REF!</definedName>
    <definedName name="生产期4" localSheetId="18">#REF!</definedName>
    <definedName name="生产期4" localSheetId="17">#REF!</definedName>
    <definedName name="生产期4" localSheetId="39">#REF!</definedName>
    <definedName name="生产期4" localSheetId="0">#REF!</definedName>
    <definedName name="生产期4" localSheetId="36">#REF!</definedName>
    <definedName name="生产期4" localSheetId="35">#REF!</definedName>
    <definedName name="生产期4" localSheetId="38">#REF!</definedName>
    <definedName name="生产期4" localSheetId="37">#REF!</definedName>
    <definedName name="生产期4">#REF!</definedName>
    <definedName name="生产期5" localSheetId="18">#REF!</definedName>
    <definedName name="生产期5" localSheetId="17">#REF!</definedName>
    <definedName name="生产期5" localSheetId="16">#REF!</definedName>
    <definedName name="生产期5" localSheetId="39">#REF!</definedName>
    <definedName name="生产期5" localSheetId="0">#REF!</definedName>
    <definedName name="生产期5" localSheetId="36">#REF!</definedName>
    <definedName name="生产期5" localSheetId="35">#REF!</definedName>
    <definedName name="生产期5" localSheetId="38">#REF!</definedName>
    <definedName name="生产期5" localSheetId="37">#REF!</definedName>
    <definedName name="生产期5">#REF!</definedName>
    <definedName name="生产期6" localSheetId="18">#REF!</definedName>
    <definedName name="生产期6" localSheetId="17">#REF!</definedName>
    <definedName name="生产期6" localSheetId="39">#REF!</definedName>
    <definedName name="生产期6" localSheetId="0">#REF!</definedName>
    <definedName name="生产期6" localSheetId="36">#REF!</definedName>
    <definedName name="生产期6" localSheetId="35">#REF!</definedName>
    <definedName name="生产期6" localSheetId="38">#REF!</definedName>
    <definedName name="生产期6" localSheetId="37">#REF!</definedName>
    <definedName name="生产期6">#REF!</definedName>
    <definedName name="生产期7" localSheetId="18">#REF!</definedName>
    <definedName name="生产期7" localSheetId="17">#REF!</definedName>
    <definedName name="生产期7" localSheetId="39">#REF!</definedName>
    <definedName name="生产期7" localSheetId="0">#REF!</definedName>
    <definedName name="生产期7" localSheetId="36">#REF!</definedName>
    <definedName name="生产期7" localSheetId="35">#REF!</definedName>
    <definedName name="生产期7" localSheetId="38">#REF!</definedName>
    <definedName name="生产期7" localSheetId="37">#REF!</definedName>
    <definedName name="生产期7">#REF!</definedName>
    <definedName name="生产期8" localSheetId="18">#REF!</definedName>
    <definedName name="生产期8" localSheetId="17">#REF!</definedName>
    <definedName name="生产期8" localSheetId="39">#REF!</definedName>
    <definedName name="生产期8" localSheetId="0">#REF!</definedName>
    <definedName name="生产期8" localSheetId="36">#REF!</definedName>
    <definedName name="生产期8" localSheetId="35">#REF!</definedName>
    <definedName name="生产期8" localSheetId="38">#REF!</definedName>
    <definedName name="生产期8" localSheetId="37">#REF!</definedName>
    <definedName name="生产期8">#REF!</definedName>
    <definedName name="生产期9" localSheetId="18">#REF!</definedName>
    <definedName name="生产期9" localSheetId="17">#REF!</definedName>
    <definedName name="生产期9" localSheetId="39">#REF!</definedName>
    <definedName name="生产期9" localSheetId="0">#REF!</definedName>
    <definedName name="生产期9" localSheetId="36">#REF!</definedName>
    <definedName name="生产期9" localSheetId="35">#REF!</definedName>
    <definedName name="生产期9" localSheetId="38">#REF!</definedName>
    <definedName name="生产期9" localSheetId="37">#REF!</definedName>
    <definedName name="生产期9">#REF!</definedName>
    <definedName name="式" localSheetId="18">#REF!</definedName>
    <definedName name="式" localSheetId="17">#REF!</definedName>
    <definedName name="式" localSheetId="39">#REF!</definedName>
    <definedName name="式" localSheetId="0">#REF!</definedName>
    <definedName name="式" localSheetId="36">#REF!</definedName>
    <definedName name="式" localSheetId="35">#REF!</definedName>
    <definedName name="式" localSheetId="38">#REF!</definedName>
    <definedName name="式" localSheetId="37">#REF!</definedName>
    <definedName name="式">#REF!</definedName>
    <definedName name="双" localSheetId="18">#REF!</definedName>
    <definedName name="双" localSheetId="17">#REF!</definedName>
    <definedName name="双" localSheetId="16">#REF!</definedName>
    <definedName name="双" localSheetId="0">#REF!</definedName>
    <definedName name="双">#REF!</definedName>
    <definedName name="下级指标" localSheetId="39">[4]单位指标查询!$A$3:$O$240</definedName>
    <definedName name="下级指标" localSheetId="36">[4]单位指标查询!$A$3:$O$240</definedName>
    <definedName name="下级指标" localSheetId="35">[4]单位指标查询!$A$3:$O$240</definedName>
    <definedName name="下级指标" localSheetId="38">[4]单位指标查询!$A$3:$O$240</definedName>
    <definedName name="下级指标" localSheetId="37">[4]单位指标查询!$A$3:$O$240</definedName>
    <definedName name="下级指标">[5]单位指标查询!$A$3:$O$240</definedName>
    <definedName name="项目支出表" localSheetId="0" hidden="1">#REF!</definedName>
    <definedName name="项目支出表" hidden="1">#REF!</definedName>
    <definedName name="预算支出指标帐" localSheetId="18">#REF!</definedName>
    <definedName name="预算支出指标帐" localSheetId="17">#REF!</definedName>
    <definedName name="预算支出指标帐" localSheetId="39">#REF!</definedName>
    <definedName name="预算支出指标帐" localSheetId="0">#REF!</definedName>
    <definedName name="预算支出指标帐" localSheetId="36">#REF!</definedName>
    <definedName name="预算支出指标帐" localSheetId="35">#REF!</definedName>
    <definedName name="预算支出指标帐" localSheetId="38">#REF!</definedName>
    <definedName name="预算支出指标帐" localSheetId="37">#REF!</definedName>
    <definedName name="预算支出指标帐">#REF!</definedName>
  </definedNames>
  <calcPr calcId="152511"/>
</workbook>
</file>

<file path=xl/calcChain.xml><?xml version="1.0" encoding="utf-8"?>
<calcChain xmlns="http://schemas.openxmlformats.org/spreadsheetml/2006/main">
  <c r="B100" i="40" l="1"/>
  <c r="B98" i="40"/>
  <c r="B89" i="40"/>
  <c r="B77" i="40"/>
  <c r="B73" i="40" s="1"/>
  <c r="B60" i="40"/>
  <c r="B46" i="40"/>
  <c r="B42" i="40"/>
  <c r="B36" i="40"/>
  <c r="B29" i="40"/>
  <c r="B27" i="40"/>
  <c r="B22" i="40"/>
  <c r="B17" i="40"/>
  <c r="B13" i="40"/>
  <c r="B8" i="40"/>
  <c r="B5" i="40"/>
  <c r="B4" i="40" s="1"/>
  <c r="B5" i="33"/>
  <c r="B4" i="33"/>
  <c r="B16" i="32"/>
  <c r="F13" i="32"/>
  <c r="F16" i="32" s="1"/>
  <c r="E13" i="32"/>
  <c r="C13" i="32"/>
  <c r="B13" i="32"/>
  <c r="E14" i="32" s="1"/>
  <c r="E15" i="32" s="1"/>
  <c r="C15" i="32" s="1"/>
  <c r="B16" i="31"/>
  <c r="F13" i="31"/>
  <c r="E13" i="31"/>
  <c r="C13" i="31"/>
  <c r="B13" i="31"/>
  <c r="E14" i="31" s="1"/>
  <c r="E15" i="31" s="1"/>
  <c r="C15" i="31" s="1"/>
  <c r="F16" i="30"/>
  <c r="C16" i="30"/>
  <c r="B16" i="30"/>
  <c r="B15" i="30"/>
  <c r="N14" i="30"/>
  <c r="N15" i="30" s="1"/>
  <c r="J14" i="30"/>
  <c r="J15" i="30" s="1"/>
  <c r="N13" i="30"/>
  <c r="M13" i="30"/>
  <c r="L13" i="30"/>
  <c r="K13" i="30"/>
  <c r="J13" i="30"/>
  <c r="J16" i="30" s="1"/>
  <c r="I13" i="30"/>
  <c r="G13" i="30"/>
  <c r="G16" i="30" s="1"/>
  <c r="F13" i="30"/>
  <c r="E13" i="30"/>
  <c r="E16" i="30" s="1"/>
  <c r="D13" i="30"/>
  <c r="D16" i="30" s="1"/>
  <c r="C13" i="30"/>
  <c r="B13" i="30"/>
  <c r="I6" i="30"/>
  <c r="F16" i="29"/>
  <c r="E16" i="29"/>
  <c r="C16" i="29"/>
  <c r="B16" i="29"/>
  <c r="B19" i="29" s="1"/>
  <c r="B16" i="28"/>
  <c r="F13" i="28"/>
  <c r="E13" i="28"/>
  <c r="C13" i="28"/>
  <c r="F14" i="28" s="1"/>
  <c r="B13" i="28"/>
  <c r="E14" i="28" s="1"/>
  <c r="E15" i="28" s="1"/>
  <c r="C15" i="28" s="1"/>
  <c r="F15" i="28" s="1"/>
  <c r="F16" i="28" s="1"/>
  <c r="F13" i="27"/>
  <c r="E13" i="27"/>
  <c r="C13" i="27"/>
  <c r="B13" i="27"/>
  <c r="E14" i="27" s="1"/>
  <c r="E15" i="27" s="1"/>
  <c r="C15" i="27" s="1"/>
  <c r="C12" i="42"/>
  <c r="D12" i="42" s="1"/>
  <c r="B11" i="42"/>
  <c r="B10" i="42"/>
  <c r="B9" i="42"/>
  <c r="B8" i="42"/>
  <c r="B7" i="42"/>
  <c r="H6" i="42"/>
  <c r="G6" i="42"/>
  <c r="F6" i="42"/>
  <c r="E6" i="42"/>
  <c r="D6" i="42"/>
  <c r="C6" i="42"/>
  <c r="B6" i="42"/>
  <c r="C13" i="42" s="1"/>
  <c r="D13" i="42" s="1"/>
  <c r="C16" i="41"/>
  <c r="D16" i="41" s="1"/>
  <c r="B13" i="41"/>
  <c r="B12" i="41"/>
  <c r="B11" i="41"/>
  <c r="B10" i="41"/>
  <c r="B9" i="41"/>
  <c r="B8" i="41"/>
  <c r="B7" i="41"/>
  <c r="H6" i="41"/>
  <c r="G6" i="41"/>
  <c r="F6" i="41"/>
  <c r="E6" i="41"/>
  <c r="D6" i="41"/>
  <c r="C6" i="41"/>
  <c r="H22" i="26"/>
  <c r="D22" i="26"/>
  <c r="F21" i="26"/>
  <c r="F22" i="26" s="1"/>
  <c r="B20" i="26"/>
  <c r="B19" i="26"/>
  <c r="B18" i="26"/>
  <c r="B15" i="26" s="1"/>
  <c r="C25" i="26" s="1"/>
  <c r="D25" i="26" s="1"/>
  <c r="B17" i="26"/>
  <c r="B16" i="26"/>
  <c r="H15" i="26"/>
  <c r="G15" i="26"/>
  <c r="G21" i="26" s="1"/>
  <c r="G22" i="26" s="1"/>
  <c r="F15" i="26"/>
  <c r="E15" i="26"/>
  <c r="D15" i="26"/>
  <c r="C15" i="26"/>
  <c r="C21" i="26" s="1"/>
  <c r="B14" i="26"/>
  <c r="B13" i="26"/>
  <c r="B12" i="26"/>
  <c r="B11" i="26"/>
  <c r="B10" i="26"/>
  <c r="B9" i="26"/>
  <c r="B8" i="26"/>
  <c r="B7" i="26" s="1"/>
  <c r="C24" i="26" s="1"/>
  <c r="D24" i="26" s="1"/>
  <c r="H7" i="26"/>
  <c r="H21" i="26" s="1"/>
  <c r="G7" i="26"/>
  <c r="F7" i="26"/>
  <c r="E7" i="26"/>
  <c r="E21" i="26" s="1"/>
  <c r="E22" i="26" s="1"/>
  <c r="D7" i="26"/>
  <c r="D21" i="26" s="1"/>
  <c r="C7" i="26"/>
  <c r="B6" i="26"/>
  <c r="E21" i="25"/>
  <c r="E13" i="25"/>
  <c r="B13" i="25"/>
  <c r="B21" i="25" s="1"/>
  <c r="D21" i="23"/>
  <c r="D19" i="23"/>
  <c r="B5" i="23"/>
  <c r="B19" i="23" s="1"/>
  <c r="B21" i="23" s="1"/>
  <c r="B25" i="22"/>
  <c r="B24" i="22" s="1"/>
  <c r="C24" i="22"/>
  <c r="C21" i="22"/>
  <c r="B21" i="22"/>
  <c r="D20" i="22"/>
  <c r="C19" i="22"/>
  <c r="D19" i="22" s="1"/>
  <c r="D18" i="22"/>
  <c r="D17" i="22"/>
  <c r="C17" i="22"/>
  <c r="D10" i="22"/>
  <c r="D7" i="22"/>
  <c r="D6" i="22"/>
  <c r="B6" i="22"/>
  <c r="C5" i="22"/>
  <c r="B5" i="22"/>
  <c r="B4" i="22"/>
  <c r="B26" i="22" s="1"/>
  <c r="B32" i="22" s="1"/>
  <c r="C18" i="21"/>
  <c r="C23" i="21" s="1"/>
  <c r="D23" i="21" s="1"/>
  <c r="D16" i="21"/>
  <c r="D14" i="21"/>
  <c r="D10" i="21"/>
  <c r="C9" i="21"/>
  <c r="B9" i="21"/>
  <c r="B18" i="21" s="1"/>
  <c r="B23" i="21" s="1"/>
  <c r="B27" i="20"/>
  <c r="B26" i="20" s="1"/>
  <c r="C26" i="20"/>
  <c r="D25" i="20"/>
  <c r="B25" i="20"/>
  <c r="D23" i="20"/>
  <c r="C22" i="20"/>
  <c r="D22" i="20" s="1"/>
  <c r="B22" i="20"/>
  <c r="C20" i="20"/>
  <c r="B20" i="20"/>
  <c r="D19" i="20"/>
  <c r="C18" i="20"/>
  <c r="B18" i="20"/>
  <c r="D16" i="20"/>
  <c r="B16" i="20"/>
  <c r="C15" i="20"/>
  <c r="B15" i="20"/>
  <c r="D14" i="20"/>
  <c r="D13" i="20"/>
  <c r="D12" i="20"/>
  <c r="D11" i="20"/>
  <c r="D10" i="20"/>
  <c r="B10" i="20"/>
  <c r="C9" i="20"/>
  <c r="D9" i="20" s="1"/>
  <c r="B9" i="20"/>
  <c r="D8" i="20"/>
  <c r="B7" i="20"/>
  <c r="B6" i="20" s="1"/>
  <c r="D6" i="20" s="1"/>
  <c r="C6" i="20"/>
  <c r="D5" i="20"/>
  <c r="B5" i="20"/>
  <c r="C4" i="20"/>
  <c r="B4" i="20"/>
  <c r="B18" i="19"/>
  <c r="D17" i="19"/>
  <c r="D16" i="19"/>
  <c r="D15" i="19"/>
  <c r="D14" i="19"/>
  <c r="D12" i="19"/>
  <c r="B12" i="19"/>
  <c r="D10" i="19"/>
  <c r="C9" i="19"/>
  <c r="C18" i="19" s="1"/>
  <c r="D18" i="19" s="1"/>
  <c r="B9" i="19"/>
  <c r="D8" i="19"/>
  <c r="D7" i="19"/>
  <c r="B23" i="18"/>
  <c r="B22" i="18"/>
  <c r="B21" i="18"/>
  <c r="B20" i="18"/>
  <c r="B24" i="18" s="1"/>
  <c r="B17" i="18"/>
  <c r="B16" i="18"/>
  <c r="E14" i="18"/>
  <c r="D13" i="18"/>
  <c r="D12" i="18"/>
  <c r="B12" i="18"/>
  <c r="B9" i="18" s="1"/>
  <c r="E15" i="18" s="1"/>
  <c r="F15" i="18" s="1"/>
  <c r="B10" i="18"/>
  <c r="B8" i="18"/>
  <c r="B7" i="18"/>
  <c r="B4" i="18" s="1"/>
  <c r="B6" i="18"/>
  <c r="B5" i="18"/>
  <c r="E623" i="17"/>
  <c r="D621" i="17"/>
  <c r="D620" i="17"/>
  <c r="D619" i="17"/>
  <c r="D618" i="17"/>
  <c r="D617" i="17"/>
  <c r="D616" i="17"/>
  <c r="D615" i="17"/>
  <c r="D614" i="17"/>
  <c r="D613" i="17"/>
  <c r="D612" i="17"/>
  <c r="D611" i="17"/>
  <c r="D610" i="17"/>
  <c r="D609" i="17"/>
  <c r="D608" i="17"/>
  <c r="D607" i="17"/>
  <c r="D606" i="17"/>
  <c r="D605" i="17"/>
  <c r="D604" i="17"/>
  <c r="D603" i="17"/>
  <c r="D602" i="17"/>
  <c r="D601" i="17"/>
  <c r="D600" i="17"/>
  <c r="D599" i="17"/>
  <c r="C598" i="17"/>
  <c r="D595" i="17"/>
  <c r="D594" i="17"/>
  <c r="D593" i="17"/>
  <c r="D592" i="17"/>
  <c r="D591" i="17"/>
  <c r="D590" i="17"/>
  <c r="D589" i="17"/>
  <c r="D588" i="17"/>
  <c r="D586" i="17"/>
  <c r="D585" i="17"/>
  <c r="D584" i="17"/>
  <c r="D583" i="17"/>
  <c r="D582" i="17"/>
  <c r="C582" i="17"/>
  <c r="D581" i="17"/>
  <c r="D580" i="17"/>
  <c r="D579" i="17"/>
  <c r="C579" i="17"/>
  <c r="C578" i="17"/>
  <c r="D578" i="17" s="1"/>
  <c r="G577" i="17"/>
  <c r="C577" i="17"/>
  <c r="D577" i="17" s="1"/>
  <c r="D576" i="17"/>
  <c r="D575" i="17"/>
  <c r="D574" i="17"/>
  <c r="D573" i="17"/>
  <c r="D572" i="17"/>
  <c r="D571" i="17"/>
  <c r="G570" i="17"/>
  <c r="D570" i="17"/>
  <c r="D569" i="17"/>
  <c r="D568" i="17"/>
  <c r="D567" i="17"/>
  <c r="D566" i="17"/>
  <c r="D565" i="17"/>
  <c r="D564" i="17"/>
  <c r="D563" i="17"/>
  <c r="D562" i="17"/>
  <c r="D561" i="17"/>
  <c r="D560" i="17"/>
  <c r="D559" i="17"/>
  <c r="C559" i="17"/>
  <c r="D558" i="17"/>
  <c r="D557" i="17"/>
  <c r="D556" i="17"/>
  <c r="D555" i="17"/>
  <c r="D554" i="17"/>
  <c r="D553" i="17"/>
  <c r="C553" i="17"/>
  <c r="G552" i="17"/>
  <c r="C552" i="17"/>
  <c r="D552" i="17" s="1"/>
  <c r="D551" i="17"/>
  <c r="D550" i="17"/>
  <c r="D549" i="17"/>
  <c r="D548" i="17"/>
  <c r="D547" i="17"/>
  <c r="D546" i="17"/>
  <c r="D545" i="17"/>
  <c r="D544" i="17"/>
  <c r="C544" i="17"/>
  <c r="D543" i="17"/>
  <c r="E542" i="17"/>
  <c r="D542" i="17"/>
  <c r="C541" i="17"/>
  <c r="D541" i="17" s="1"/>
  <c r="D540" i="17"/>
  <c r="D539" i="17"/>
  <c r="D538" i="17"/>
  <c r="D537" i="17"/>
  <c r="G536" i="17"/>
  <c r="D536" i="17"/>
  <c r="C536" i="17"/>
  <c r="C535" i="17"/>
  <c r="D535" i="17" s="1"/>
  <c r="D534" i="17"/>
  <c r="D533" i="17"/>
  <c r="D532" i="17"/>
  <c r="E531" i="17"/>
  <c r="D531" i="17"/>
  <c r="D530" i="17"/>
  <c r="D529" i="17"/>
  <c r="D528" i="17"/>
  <c r="D527" i="17"/>
  <c r="D526" i="17"/>
  <c r="D525" i="17"/>
  <c r="D524" i="17"/>
  <c r="D523" i="17"/>
  <c r="D522" i="17"/>
  <c r="D521" i="17"/>
  <c r="D520" i="17"/>
  <c r="D519" i="17"/>
  <c r="D518" i="17"/>
  <c r="D517" i="17"/>
  <c r="D516" i="17"/>
  <c r="D515" i="17"/>
  <c r="G514" i="17"/>
  <c r="C514" i="17"/>
  <c r="D514" i="17" s="1"/>
  <c r="D513" i="17"/>
  <c r="D512" i="17"/>
  <c r="D511" i="17"/>
  <c r="D510" i="17"/>
  <c r="D509" i="17"/>
  <c r="D508" i="17"/>
  <c r="C508" i="17"/>
  <c r="D507" i="17"/>
  <c r="D506" i="17"/>
  <c r="D505" i="17"/>
  <c r="D504" i="17"/>
  <c r="D503" i="17"/>
  <c r="D502" i="17"/>
  <c r="D501" i="17"/>
  <c r="D500" i="17"/>
  <c r="D499" i="17"/>
  <c r="D498" i="17"/>
  <c r="D497" i="17"/>
  <c r="D496" i="17"/>
  <c r="D495" i="17"/>
  <c r="G494" i="17"/>
  <c r="D494" i="17"/>
  <c r="C494" i="17"/>
  <c r="D493" i="17"/>
  <c r="D492" i="17"/>
  <c r="D491" i="17"/>
  <c r="D490" i="17"/>
  <c r="D489" i="17"/>
  <c r="D488" i="17"/>
  <c r="D487" i="17"/>
  <c r="D486" i="17"/>
  <c r="D485" i="17"/>
  <c r="D484" i="17"/>
  <c r="D483" i="17"/>
  <c r="D482" i="17"/>
  <c r="D481" i="17"/>
  <c r="D480" i="17"/>
  <c r="D479" i="17"/>
  <c r="D478" i="17"/>
  <c r="D477" i="17"/>
  <c r="D476" i="17"/>
  <c r="D475" i="17"/>
  <c r="D474" i="17"/>
  <c r="D473" i="17"/>
  <c r="D472" i="17"/>
  <c r="D471" i="17"/>
  <c r="D470" i="17"/>
  <c r="D469" i="17"/>
  <c r="D468" i="17"/>
  <c r="D467" i="17"/>
  <c r="D466" i="17"/>
  <c r="D465" i="17"/>
  <c r="D464" i="17"/>
  <c r="D463" i="17"/>
  <c r="D462" i="17"/>
  <c r="D461" i="17"/>
  <c r="D460" i="17"/>
  <c r="D459" i="17"/>
  <c r="D458" i="17"/>
  <c r="D457" i="17"/>
  <c r="D456" i="17"/>
  <c r="D455" i="17"/>
  <c r="C455" i="17"/>
  <c r="D454" i="17"/>
  <c r="C454" i="17"/>
  <c r="D453" i="17"/>
  <c r="D452" i="17"/>
  <c r="D451" i="17"/>
  <c r="D450" i="17"/>
  <c r="D449" i="17"/>
  <c r="D448" i="17"/>
  <c r="D447" i="17"/>
  <c r="D446" i="17"/>
  <c r="D445" i="17"/>
  <c r="D444" i="17"/>
  <c r="D443" i="17"/>
  <c r="D442" i="17"/>
  <c r="D441" i="17"/>
  <c r="E440" i="17"/>
  <c r="D440" i="17"/>
  <c r="D439" i="17"/>
  <c r="D438" i="17"/>
  <c r="D437" i="17"/>
  <c r="G436" i="17"/>
  <c r="D436" i="17"/>
  <c r="C436" i="17"/>
  <c r="C435" i="17"/>
  <c r="D435" i="17" s="1"/>
  <c r="D434" i="17"/>
  <c r="C434" i="17"/>
  <c r="D433" i="17"/>
  <c r="D432" i="17"/>
  <c r="D431" i="17"/>
  <c r="C431" i="17"/>
  <c r="D430" i="17"/>
  <c r="D429" i="17"/>
  <c r="D428" i="17"/>
  <c r="D427" i="17"/>
  <c r="D426" i="17"/>
  <c r="D425" i="17"/>
  <c r="D424" i="17"/>
  <c r="D423" i="17"/>
  <c r="D422" i="17"/>
  <c r="G421" i="17"/>
  <c r="D421" i="17"/>
  <c r="G420" i="17"/>
  <c r="C420" i="17"/>
  <c r="D420" i="17" s="1"/>
  <c r="D419" i="17"/>
  <c r="C419" i="17"/>
  <c r="D418" i="17"/>
  <c r="D417" i="17"/>
  <c r="D416" i="17"/>
  <c r="D415" i="17"/>
  <c r="D414" i="17"/>
  <c r="D413" i="17"/>
  <c r="D412" i="17"/>
  <c r="D411" i="17"/>
  <c r="D410" i="17"/>
  <c r="D409" i="17"/>
  <c r="D408" i="17"/>
  <c r="D407" i="17"/>
  <c r="D406" i="17"/>
  <c r="D405" i="17"/>
  <c r="D404" i="17"/>
  <c r="D403" i="17"/>
  <c r="D402" i="17"/>
  <c r="E401" i="17"/>
  <c r="D401" i="17"/>
  <c r="D400" i="17"/>
  <c r="D399" i="17"/>
  <c r="D398" i="17"/>
  <c r="D397" i="17"/>
  <c r="G396" i="17"/>
  <c r="C396" i="17"/>
  <c r="D396" i="17" s="1"/>
  <c r="D395" i="17"/>
  <c r="D394" i="17"/>
  <c r="D393" i="17"/>
  <c r="D392" i="17"/>
  <c r="D391" i="17"/>
  <c r="D390" i="17"/>
  <c r="D389" i="17"/>
  <c r="D388" i="17"/>
  <c r="D387" i="17"/>
  <c r="D386" i="17"/>
  <c r="D385" i="17"/>
  <c r="D384" i="17"/>
  <c r="D383" i="17"/>
  <c r="D382" i="17"/>
  <c r="D381" i="17"/>
  <c r="D380" i="17"/>
  <c r="D379" i="17"/>
  <c r="D378" i="17"/>
  <c r="D377" i="17"/>
  <c r="D376" i="17"/>
  <c r="D375" i="17"/>
  <c r="D374" i="17"/>
  <c r="D373" i="17"/>
  <c r="D372" i="17"/>
  <c r="D371" i="17"/>
  <c r="D370" i="17"/>
  <c r="D369" i="17"/>
  <c r="D368" i="17"/>
  <c r="D367" i="17"/>
  <c r="D366" i="17"/>
  <c r="C366" i="17"/>
  <c r="D365" i="17"/>
  <c r="D364" i="17"/>
  <c r="D363" i="17"/>
  <c r="D362" i="17"/>
  <c r="D361" i="17"/>
  <c r="D360" i="17"/>
  <c r="D359" i="17"/>
  <c r="C358" i="17"/>
  <c r="D358" i="17" s="1"/>
  <c r="D357" i="17"/>
  <c r="D356" i="17"/>
  <c r="D355" i="17"/>
  <c r="D354" i="17"/>
  <c r="D353" i="17"/>
  <c r="E352" i="17"/>
  <c r="D352" i="17"/>
  <c r="D351" i="17"/>
  <c r="D350" i="17"/>
  <c r="D349" i="17"/>
  <c r="D348" i="17"/>
  <c r="D347" i="17"/>
  <c r="D346" i="17"/>
  <c r="D345" i="17"/>
  <c r="G344" i="17"/>
  <c r="D344" i="17"/>
  <c r="C344" i="17"/>
  <c r="D343" i="17"/>
  <c r="D342" i="17"/>
  <c r="D341" i="17"/>
  <c r="D340" i="17"/>
  <c r="E339" i="17"/>
  <c r="D339" i="17"/>
  <c r="D338" i="17"/>
  <c r="D337" i="17"/>
  <c r="D336" i="17"/>
  <c r="D335" i="17"/>
  <c r="D334" i="17"/>
  <c r="D333" i="17"/>
  <c r="D332" i="17"/>
  <c r="D331" i="17"/>
  <c r="D330" i="17"/>
  <c r="D329" i="17"/>
  <c r="D328" i="17"/>
  <c r="D327" i="17"/>
  <c r="D326" i="17"/>
  <c r="D325" i="17"/>
  <c r="D324" i="17"/>
  <c r="D323" i="17"/>
  <c r="D322" i="17"/>
  <c r="D321" i="17"/>
  <c r="D320" i="17"/>
  <c r="D319" i="17"/>
  <c r="D318" i="17"/>
  <c r="D317" i="17"/>
  <c r="D316" i="17"/>
  <c r="D315" i="17"/>
  <c r="D314" i="17"/>
  <c r="D313" i="17"/>
  <c r="D312" i="17"/>
  <c r="D311" i="17"/>
  <c r="D310" i="17"/>
  <c r="D309" i="17"/>
  <c r="D308" i="17"/>
  <c r="D307" i="17"/>
  <c r="D306" i="17"/>
  <c r="D305" i="17"/>
  <c r="D304" i="17"/>
  <c r="D303" i="17"/>
  <c r="D302" i="17"/>
  <c r="D301" i="17"/>
  <c r="D300" i="17"/>
  <c r="D299" i="17"/>
  <c r="D298" i="17"/>
  <c r="D297" i="17"/>
  <c r="D296" i="17"/>
  <c r="D295" i="17"/>
  <c r="D294" i="17"/>
  <c r="D293" i="17"/>
  <c r="D292" i="17"/>
  <c r="D291" i="17"/>
  <c r="D290" i="17"/>
  <c r="D289" i="17"/>
  <c r="D288" i="17"/>
  <c r="D287" i="17"/>
  <c r="D286" i="17"/>
  <c r="D285" i="17"/>
  <c r="D284" i="17"/>
  <c r="D283" i="17"/>
  <c r="D282" i="17"/>
  <c r="D281" i="17"/>
  <c r="D280" i="17"/>
  <c r="D279" i="17"/>
  <c r="D278" i="17"/>
  <c r="D277" i="17"/>
  <c r="D276" i="17"/>
  <c r="C276" i="17"/>
  <c r="D275" i="17"/>
  <c r="C275" i="17"/>
  <c r="G274" i="17"/>
  <c r="C274" i="17"/>
  <c r="D274" i="17" s="1"/>
  <c r="D273" i="17"/>
  <c r="D272" i="17"/>
  <c r="C272" i="17"/>
  <c r="D271" i="17"/>
  <c r="D270" i="17"/>
  <c r="C270" i="17"/>
  <c r="D269" i="17"/>
  <c r="D268" i="17"/>
  <c r="D267" i="17"/>
  <c r="D266" i="17"/>
  <c r="D265" i="17"/>
  <c r="D264" i="17"/>
  <c r="D263" i="17"/>
  <c r="D262" i="17"/>
  <c r="D261" i="17"/>
  <c r="D260" i="17"/>
  <c r="D259" i="17"/>
  <c r="D258" i="17"/>
  <c r="D257" i="17"/>
  <c r="D256" i="17"/>
  <c r="D255" i="17"/>
  <c r="D254" i="17"/>
  <c r="D253" i="17"/>
  <c r="D252" i="17"/>
  <c r="D251" i="17"/>
  <c r="D250" i="17"/>
  <c r="D249" i="17"/>
  <c r="D248" i="17"/>
  <c r="D247" i="17"/>
  <c r="D246" i="17"/>
  <c r="D245" i="17"/>
  <c r="D244" i="17"/>
  <c r="D243" i="17"/>
  <c r="D242" i="17"/>
  <c r="D241" i="17"/>
  <c r="D240" i="17"/>
  <c r="G239" i="17"/>
  <c r="D239" i="17"/>
  <c r="C239" i="17"/>
  <c r="C238" i="17"/>
  <c r="D238" i="17" s="1"/>
  <c r="D237" i="17"/>
  <c r="D236" i="17"/>
  <c r="D235" i="17"/>
  <c r="D234" i="17"/>
  <c r="D233" i="17"/>
  <c r="D232" i="17"/>
  <c r="D231" i="17"/>
  <c r="D230" i="17"/>
  <c r="D229" i="17"/>
  <c r="D228" i="17"/>
  <c r="D227" i="17"/>
  <c r="D226" i="17"/>
  <c r="D225" i="17"/>
  <c r="D224" i="17"/>
  <c r="D223" i="17"/>
  <c r="D222" i="17"/>
  <c r="D221" i="17"/>
  <c r="D220" i="17"/>
  <c r="D219" i="17"/>
  <c r="D218" i="17"/>
  <c r="D217" i="17"/>
  <c r="D216" i="17"/>
  <c r="D215" i="17"/>
  <c r="D214" i="17"/>
  <c r="D213" i="17"/>
  <c r="G212" i="17"/>
  <c r="C212" i="17"/>
  <c r="D212" i="17" s="1"/>
  <c r="C211" i="17"/>
  <c r="D211" i="17" s="1"/>
  <c r="C210" i="17"/>
  <c r="D210" i="17" s="1"/>
  <c r="D209" i="17"/>
  <c r="D208" i="17"/>
  <c r="D207" i="17"/>
  <c r="D206" i="17"/>
  <c r="D205" i="17"/>
  <c r="D204" i="17"/>
  <c r="D203" i="17"/>
  <c r="D202" i="17"/>
  <c r="D201" i="17"/>
  <c r="D200" i="17"/>
  <c r="D199" i="17"/>
  <c r="D198" i="17"/>
  <c r="D197" i="17"/>
  <c r="D196" i="17"/>
  <c r="D195" i="17"/>
  <c r="D194" i="17"/>
  <c r="D193" i="17"/>
  <c r="D192" i="17"/>
  <c r="D191" i="17"/>
  <c r="D190" i="17"/>
  <c r="D189" i="17"/>
  <c r="D188" i="17"/>
  <c r="D187" i="17"/>
  <c r="D186" i="17"/>
  <c r="D185" i="17"/>
  <c r="G184" i="17"/>
  <c r="C184" i="17"/>
  <c r="D184" i="17" s="1"/>
  <c r="D183" i="17"/>
  <c r="D182" i="17"/>
  <c r="D181" i="17"/>
  <c r="D180" i="17"/>
  <c r="D179" i="17"/>
  <c r="D178" i="17"/>
  <c r="D177" i="17"/>
  <c r="D176" i="17"/>
  <c r="D175" i="17"/>
  <c r="D174" i="17"/>
  <c r="D173" i="17"/>
  <c r="D172" i="17"/>
  <c r="D171" i="17"/>
  <c r="D170" i="17"/>
  <c r="D169" i="17"/>
  <c r="D168" i="17"/>
  <c r="D167" i="17"/>
  <c r="D166" i="17"/>
  <c r="D165" i="17"/>
  <c r="D164" i="17"/>
  <c r="D163" i="17"/>
  <c r="D162" i="17"/>
  <c r="D161" i="17"/>
  <c r="D160" i="17"/>
  <c r="D159" i="17"/>
  <c r="D158" i="17"/>
  <c r="D157" i="17"/>
  <c r="D156" i="17"/>
  <c r="D155" i="17"/>
  <c r="D154" i="17"/>
  <c r="D153" i="17"/>
  <c r="D152" i="17"/>
  <c r="D151" i="17"/>
  <c r="D150" i="17"/>
  <c r="D149" i="17"/>
  <c r="D148" i="17"/>
  <c r="D147" i="17"/>
  <c r="D146" i="17"/>
  <c r="D145" i="17"/>
  <c r="D144" i="17"/>
  <c r="D143" i="17"/>
  <c r="D142" i="17"/>
  <c r="D141" i="17"/>
  <c r="D140" i="17"/>
  <c r="D139" i="17"/>
  <c r="D138" i="17"/>
  <c r="D137" i="17"/>
  <c r="D136" i="17"/>
  <c r="C135" i="17"/>
  <c r="D135" i="17" s="1"/>
  <c r="D134" i="17"/>
  <c r="D133" i="17"/>
  <c r="C133" i="17"/>
  <c r="D132" i="17"/>
  <c r="D131" i="17"/>
  <c r="D130" i="17"/>
  <c r="G129" i="17"/>
  <c r="C129" i="17"/>
  <c r="D129" i="17" s="1"/>
  <c r="D128" i="17"/>
  <c r="D127" i="17"/>
  <c r="D126" i="17"/>
  <c r="D125" i="17"/>
  <c r="D124" i="17"/>
  <c r="C123" i="17"/>
  <c r="D123" i="17" s="1"/>
  <c r="C122" i="17"/>
  <c r="D122" i="17" s="1"/>
  <c r="D121" i="17"/>
  <c r="D120" i="17"/>
  <c r="D119" i="17"/>
  <c r="D118" i="17"/>
  <c r="D117" i="17"/>
  <c r="D116" i="17"/>
  <c r="D115" i="17"/>
  <c r="D114" i="17"/>
  <c r="D113" i="17"/>
  <c r="D112" i="17"/>
  <c r="D111" i="17"/>
  <c r="D110" i="17"/>
  <c r="D109" i="17"/>
  <c r="D108" i="17"/>
  <c r="D107" i="17"/>
  <c r="D106" i="17"/>
  <c r="D105" i="17"/>
  <c r="D104" i="17"/>
  <c r="D103" i="17"/>
  <c r="D102" i="17"/>
  <c r="D101" i="17"/>
  <c r="D100" i="17"/>
  <c r="D99" i="17"/>
  <c r="D98" i="17"/>
  <c r="D97" i="17"/>
  <c r="D96" i="17"/>
  <c r="D95" i="17"/>
  <c r="D94" i="17"/>
  <c r="D93" i="17"/>
  <c r="D92" i="17"/>
  <c r="D91" i="17"/>
  <c r="D90" i="17"/>
  <c r="D89" i="17"/>
  <c r="D88" i="17"/>
  <c r="D87" i="17"/>
  <c r="D86" i="17"/>
  <c r="D85" i="17"/>
  <c r="D84" i="17"/>
  <c r="D83" i="17"/>
  <c r="D82" i="17"/>
  <c r="D81" i="17"/>
  <c r="D80" i="17"/>
  <c r="D79" i="17"/>
  <c r="D78" i="17"/>
  <c r="D77" i="17"/>
  <c r="D76" i="17"/>
  <c r="D75" i="17"/>
  <c r="D74" i="17"/>
  <c r="D73" i="17"/>
  <c r="D72" i="17"/>
  <c r="D71" i="17"/>
  <c r="D70" i="17"/>
  <c r="D69" i="17"/>
  <c r="D68" i="17"/>
  <c r="C67" i="17"/>
  <c r="D67" i="17" s="1"/>
  <c r="C66" i="17"/>
  <c r="D66" i="17" s="1"/>
  <c r="D65" i="17"/>
  <c r="D64" i="17"/>
  <c r="D63" i="17"/>
  <c r="D62" i="17"/>
  <c r="D61" i="17"/>
  <c r="D60" i="17"/>
  <c r="D59" i="17"/>
  <c r="D58" i="17"/>
  <c r="D57" i="17"/>
  <c r="D56" i="17"/>
  <c r="D55" i="17"/>
  <c r="D54" i="17"/>
  <c r="D53" i="17"/>
  <c r="D52" i="17"/>
  <c r="D51" i="17"/>
  <c r="D50" i="17"/>
  <c r="D49" i="17"/>
  <c r="D48" i="17"/>
  <c r="D47" i="17"/>
  <c r="D46" i="17"/>
  <c r="D45" i="17"/>
  <c r="D44" i="17"/>
  <c r="C43" i="17"/>
  <c r="D43" i="17" s="1"/>
  <c r="D42" i="17"/>
  <c r="D41" i="17"/>
  <c r="D40" i="17"/>
  <c r="D39" i="17"/>
  <c r="D38" i="17"/>
  <c r="D37" i="17"/>
  <c r="D36" i="17"/>
  <c r="C36" i="17"/>
  <c r="D35" i="17"/>
  <c r="D34" i="17"/>
  <c r="D33" i="17"/>
  <c r="D32" i="17"/>
  <c r="D31" i="17"/>
  <c r="D30" i="17"/>
  <c r="D29" i="17"/>
  <c r="D28" i="17"/>
  <c r="D27" i="17"/>
  <c r="D26" i="17"/>
  <c r="D25" i="17"/>
  <c r="D24" i="17"/>
  <c r="D23" i="17"/>
  <c r="D22" i="17"/>
  <c r="D21" i="17"/>
  <c r="D20" i="17"/>
  <c r="C19" i="17"/>
  <c r="D19" i="17" s="1"/>
  <c r="C18" i="17"/>
  <c r="D18" i="17" s="1"/>
  <c r="D17" i="17"/>
  <c r="D16" i="17"/>
  <c r="D15" i="17"/>
  <c r="D14" i="17"/>
  <c r="D13" i="17"/>
  <c r="D12" i="17"/>
  <c r="D11" i="17"/>
  <c r="D10" i="17"/>
  <c r="D9" i="17"/>
  <c r="D8" i="17"/>
  <c r="D7" i="17"/>
  <c r="G6" i="17"/>
  <c r="D6" i="17"/>
  <c r="C6" i="17"/>
  <c r="F17" i="16"/>
  <c r="F12" i="16"/>
  <c r="B12" i="16"/>
  <c r="D8" i="16"/>
  <c r="F8" i="16" s="1"/>
  <c r="D6" i="16"/>
  <c r="B6" i="16"/>
  <c r="B25" i="16" s="1"/>
  <c r="D5" i="16"/>
  <c r="N29" i="15"/>
  <c r="E28" i="15"/>
  <c r="D28" i="15"/>
  <c r="N27" i="15"/>
  <c r="K27" i="15"/>
  <c r="K28" i="15" s="1"/>
  <c r="J27" i="15"/>
  <c r="G27" i="15"/>
  <c r="C27" i="15"/>
  <c r="C31" i="15" s="1"/>
  <c r="O26" i="15"/>
  <c r="L26" i="15"/>
  <c r="I26" i="15"/>
  <c r="E26" i="15"/>
  <c r="D26" i="15"/>
  <c r="O25" i="15"/>
  <c r="L25" i="15"/>
  <c r="I25" i="15"/>
  <c r="E25" i="15"/>
  <c r="D25" i="15"/>
  <c r="O24" i="15"/>
  <c r="L24" i="15"/>
  <c r="I24" i="15"/>
  <c r="E24" i="15"/>
  <c r="D24" i="15"/>
  <c r="O23" i="15"/>
  <c r="L23" i="15"/>
  <c r="I23" i="15"/>
  <c r="E23" i="15"/>
  <c r="D23" i="15"/>
  <c r="O22" i="15"/>
  <c r="L22" i="15"/>
  <c r="I22" i="15"/>
  <c r="E22" i="15"/>
  <c r="D22" i="15"/>
  <c r="O21" i="15"/>
  <c r="L21" i="15"/>
  <c r="I21" i="15"/>
  <c r="E21" i="15"/>
  <c r="D21" i="15"/>
  <c r="O20" i="15"/>
  <c r="L20" i="15"/>
  <c r="I20" i="15"/>
  <c r="E20" i="15"/>
  <c r="O19" i="15"/>
  <c r="L19" i="15"/>
  <c r="I19" i="15"/>
  <c r="E19" i="15"/>
  <c r="D19" i="15"/>
  <c r="O18" i="15"/>
  <c r="M18" i="15"/>
  <c r="L18" i="15"/>
  <c r="I18" i="15"/>
  <c r="E18" i="15"/>
  <c r="D18" i="15"/>
  <c r="O17" i="15"/>
  <c r="L17" i="15"/>
  <c r="I17" i="15"/>
  <c r="E17" i="15"/>
  <c r="D17" i="15"/>
  <c r="O16" i="15"/>
  <c r="L16" i="15"/>
  <c r="I16" i="15"/>
  <c r="E16" i="15"/>
  <c r="D16" i="15"/>
  <c r="N15" i="15"/>
  <c r="O15" i="15" s="1"/>
  <c r="L15" i="15"/>
  <c r="I15" i="15"/>
  <c r="E15" i="15"/>
  <c r="D15" i="15"/>
  <c r="O14" i="15"/>
  <c r="L14" i="15"/>
  <c r="E14" i="15"/>
  <c r="D14" i="15"/>
  <c r="C14" i="15"/>
  <c r="I14" i="15" s="1"/>
  <c r="I13" i="15"/>
  <c r="E13" i="15"/>
  <c r="B13" i="15"/>
  <c r="O13" i="15" s="1"/>
  <c r="O12" i="15"/>
  <c r="L12" i="15"/>
  <c r="I12" i="15"/>
  <c r="E12" i="15"/>
  <c r="D12" i="15"/>
  <c r="N11" i="15"/>
  <c r="I11" i="15"/>
  <c r="C11" i="15"/>
  <c r="B11" i="15"/>
  <c r="O10" i="15"/>
  <c r="L10" i="15"/>
  <c r="I10" i="15"/>
  <c r="E10" i="15"/>
  <c r="D10" i="15"/>
  <c r="O9" i="15"/>
  <c r="L9" i="15"/>
  <c r="I9" i="15"/>
  <c r="E9" i="15"/>
  <c r="D9" i="15"/>
  <c r="O8" i="15"/>
  <c r="L8" i="15"/>
  <c r="I8" i="15"/>
  <c r="E8" i="15"/>
  <c r="D8" i="15"/>
  <c r="O7" i="15"/>
  <c r="L7" i="15"/>
  <c r="I7" i="15"/>
  <c r="E7" i="15"/>
  <c r="D7" i="15"/>
  <c r="O6" i="15"/>
  <c r="L6" i="15"/>
  <c r="I6" i="15"/>
  <c r="E6" i="15"/>
  <c r="D6" i="15"/>
  <c r="O5" i="15"/>
  <c r="L5" i="15"/>
  <c r="I5" i="15"/>
  <c r="E5" i="15"/>
  <c r="O4" i="15"/>
  <c r="L4" i="15"/>
  <c r="I4" i="15"/>
  <c r="E4" i="15"/>
  <c r="D4" i="15"/>
  <c r="G43" i="14"/>
  <c r="I42" i="14"/>
  <c r="Q41" i="14"/>
  <c r="P41" i="14"/>
  <c r="O41" i="14"/>
  <c r="D41" i="14"/>
  <c r="Q40" i="14"/>
  <c r="P40" i="14"/>
  <c r="O40" i="14"/>
  <c r="D40" i="14"/>
  <c r="Q39" i="14"/>
  <c r="O39" i="14"/>
  <c r="O38" i="14"/>
  <c r="D38" i="14"/>
  <c r="Q37" i="14"/>
  <c r="O37" i="14"/>
  <c r="P36" i="14"/>
  <c r="Q36" i="14" s="1"/>
  <c r="O36" i="14"/>
  <c r="D36" i="14"/>
  <c r="G35" i="14"/>
  <c r="C35" i="14"/>
  <c r="D35" i="14" s="1"/>
  <c r="B35" i="14"/>
  <c r="O35" i="14" s="1"/>
  <c r="P34" i="14"/>
  <c r="Q34" i="14" s="1"/>
  <c r="O34" i="14"/>
  <c r="D34" i="14"/>
  <c r="P33" i="14"/>
  <c r="Q33" i="14" s="1"/>
  <c r="O33" i="14"/>
  <c r="I33" i="14"/>
  <c r="G33" i="14"/>
  <c r="D33" i="14"/>
  <c r="Q32" i="14"/>
  <c r="O32" i="14"/>
  <c r="P31" i="14"/>
  <c r="Q31" i="14" s="1"/>
  <c r="O31" i="14"/>
  <c r="D31" i="14"/>
  <c r="O30" i="14"/>
  <c r="G30" i="14"/>
  <c r="C30" i="14"/>
  <c r="D30" i="14" s="1"/>
  <c r="B30" i="14"/>
  <c r="K29" i="14"/>
  <c r="L29" i="14" s="1"/>
  <c r="J29" i="14"/>
  <c r="B29" i="14"/>
  <c r="B42" i="14" s="1"/>
  <c r="O42" i="14" s="1"/>
  <c r="Q28" i="14"/>
  <c r="O28" i="14"/>
  <c r="M28" i="14"/>
  <c r="N28" i="14" s="1"/>
  <c r="L28" i="14"/>
  <c r="K28" i="14"/>
  <c r="Q27" i="14"/>
  <c r="O27" i="14"/>
  <c r="N27" i="14"/>
  <c r="M27" i="14"/>
  <c r="K27" i="14"/>
  <c r="L27" i="14" s="1"/>
  <c r="D27" i="14"/>
  <c r="Q26" i="14"/>
  <c r="O26" i="14"/>
  <c r="Q25" i="14"/>
  <c r="O25" i="14"/>
  <c r="D25" i="14"/>
  <c r="Q24" i="14"/>
  <c r="O24" i="14"/>
  <c r="Q23" i="14"/>
  <c r="O23" i="14"/>
  <c r="D23" i="14"/>
  <c r="Q22" i="14"/>
  <c r="O22" i="14"/>
  <c r="D22" i="14"/>
  <c r="Q21" i="14"/>
  <c r="O21" i="14"/>
  <c r="D21" i="14"/>
  <c r="P20" i="14"/>
  <c r="O20" i="14"/>
  <c r="G20" i="14"/>
  <c r="C20" i="14"/>
  <c r="D20" i="14" s="1"/>
  <c r="B20" i="14"/>
  <c r="Q19" i="14"/>
  <c r="O19" i="14"/>
  <c r="D19" i="14"/>
  <c r="Q18" i="14"/>
  <c r="O18" i="14"/>
  <c r="F18" i="14"/>
  <c r="D18" i="14"/>
  <c r="Q17" i="14"/>
  <c r="O17" i="14"/>
  <c r="F17" i="14"/>
  <c r="D17" i="14"/>
  <c r="Q16" i="14"/>
  <c r="O16" i="14"/>
  <c r="F16" i="14"/>
  <c r="Q15" i="14"/>
  <c r="O15" i="14"/>
  <c r="F15" i="14"/>
  <c r="Q14" i="14"/>
  <c r="O14" i="14"/>
  <c r="F14" i="14"/>
  <c r="D14" i="14"/>
  <c r="Q13" i="14"/>
  <c r="O13" i="14"/>
  <c r="F13" i="14"/>
  <c r="D13" i="14"/>
  <c r="Q12" i="14"/>
  <c r="O12" i="14"/>
  <c r="F12" i="14"/>
  <c r="D12" i="14"/>
  <c r="Q11" i="14"/>
  <c r="O11" i="14"/>
  <c r="F11" i="14"/>
  <c r="D11" i="14"/>
  <c r="Q10" i="14"/>
  <c r="O10" i="14"/>
  <c r="F10" i="14"/>
  <c r="T9" i="14"/>
  <c r="P38" i="14" s="1"/>
  <c r="Q38" i="14" s="1"/>
  <c r="Q9" i="14"/>
  <c r="O9" i="14"/>
  <c r="F9" i="14"/>
  <c r="D9" i="14"/>
  <c r="Q8" i="14"/>
  <c r="O8" i="14"/>
  <c r="F8" i="14"/>
  <c r="Q7" i="14"/>
  <c r="O7" i="14"/>
  <c r="F7" i="14"/>
  <c r="D7" i="14"/>
  <c r="Q6" i="14"/>
  <c r="O6" i="14"/>
  <c r="F6" i="14"/>
  <c r="Q5" i="14"/>
  <c r="O5" i="14"/>
  <c r="F5" i="14"/>
  <c r="D5" i="14"/>
  <c r="P4" i="14"/>
  <c r="O4" i="14"/>
  <c r="G4" i="14"/>
  <c r="G29" i="14" s="1"/>
  <c r="G42" i="14" s="1"/>
  <c r="C4" i="14"/>
  <c r="D4" i="14" s="1"/>
  <c r="B4" i="14"/>
  <c r="J24" i="13"/>
  <c r="I24" i="13"/>
  <c r="I23" i="13"/>
  <c r="F23" i="13"/>
  <c r="I21" i="13"/>
  <c r="F21" i="13"/>
  <c r="I20" i="13"/>
  <c r="F20" i="13"/>
  <c r="I19" i="13"/>
  <c r="F19" i="13"/>
  <c r="I18" i="13"/>
  <c r="F18" i="13"/>
  <c r="M18" i="13" s="1"/>
  <c r="I17" i="13"/>
  <c r="F17" i="13"/>
  <c r="I16" i="13"/>
  <c r="F16" i="13"/>
  <c r="B16" i="13"/>
  <c r="I15" i="13"/>
  <c r="G15" i="13"/>
  <c r="F15" i="13"/>
  <c r="I14" i="13"/>
  <c r="F14" i="13"/>
  <c r="I13" i="13"/>
  <c r="F13" i="13"/>
  <c r="I12" i="13"/>
  <c r="G12" i="13"/>
  <c r="F12" i="13"/>
  <c r="B12" i="13"/>
  <c r="O13" i="13" s="1"/>
  <c r="I11" i="13"/>
  <c r="F11" i="13"/>
  <c r="B11" i="13"/>
  <c r="I10" i="13"/>
  <c r="F10" i="13"/>
  <c r="I9" i="13"/>
  <c r="F9" i="13"/>
  <c r="M8" i="13"/>
  <c r="J8" i="13"/>
  <c r="I8" i="13"/>
  <c r="F8" i="13"/>
  <c r="D8" i="13"/>
  <c r="D24" i="13" s="1"/>
  <c r="I7" i="13"/>
  <c r="G7" i="13"/>
  <c r="F7" i="13"/>
  <c r="B7" i="13"/>
  <c r="B6" i="13" s="1"/>
  <c r="B24" i="13" s="1"/>
  <c r="J6" i="13"/>
  <c r="I6" i="13" s="1"/>
  <c r="G6" i="13"/>
  <c r="G24" i="13" s="1"/>
  <c r="F24" i="13" s="1"/>
  <c r="F6" i="13"/>
  <c r="D6" i="13"/>
  <c r="I5" i="13"/>
  <c r="F5" i="13"/>
  <c r="D5" i="13"/>
  <c r="P30" i="12"/>
  <c r="F30" i="12"/>
  <c r="AA26" i="12"/>
  <c r="R26" i="12"/>
  <c r="M26" i="12"/>
  <c r="L26" i="12"/>
  <c r="C26" i="12"/>
  <c r="G26" i="12" s="1"/>
  <c r="H26" i="12" s="1"/>
  <c r="AB25" i="12"/>
  <c r="V25" i="12"/>
  <c r="P25" i="12"/>
  <c r="L25" i="12"/>
  <c r="J25" i="12"/>
  <c r="I25" i="12"/>
  <c r="H25" i="12"/>
  <c r="G25" i="12"/>
  <c r="AB24" i="12"/>
  <c r="V24" i="12"/>
  <c r="P24" i="12"/>
  <c r="L24" i="12"/>
  <c r="D24" i="12"/>
  <c r="AB23" i="12"/>
  <c r="V23" i="12"/>
  <c r="P23" i="12"/>
  <c r="L23" i="12"/>
  <c r="J23" i="12"/>
  <c r="I23" i="12"/>
  <c r="G23" i="12"/>
  <c r="H23" i="12" s="1"/>
  <c r="D23" i="12"/>
  <c r="AB22" i="12"/>
  <c r="V22" i="12"/>
  <c r="P22" i="12"/>
  <c r="L22" i="12"/>
  <c r="J22" i="12"/>
  <c r="I22" i="12"/>
  <c r="G22" i="12"/>
  <c r="H22" i="12" s="1"/>
  <c r="D22" i="12"/>
  <c r="P21" i="12"/>
  <c r="L21" i="12"/>
  <c r="H21" i="12"/>
  <c r="G21" i="12"/>
  <c r="B21" i="12"/>
  <c r="AB21" i="12" s="1"/>
  <c r="AB20" i="12"/>
  <c r="V20" i="12"/>
  <c r="P20" i="12"/>
  <c r="L20" i="12"/>
  <c r="J20" i="12"/>
  <c r="I20" i="12"/>
  <c r="G20" i="12"/>
  <c r="H20" i="12" s="1"/>
  <c r="AB19" i="12"/>
  <c r="V19" i="12"/>
  <c r="P19" i="12"/>
  <c r="L19" i="12"/>
  <c r="J19" i="12"/>
  <c r="I19" i="12"/>
  <c r="G19" i="12"/>
  <c r="H19" i="12" s="1"/>
  <c r="D19" i="12"/>
  <c r="AB18" i="12"/>
  <c r="V18" i="12"/>
  <c r="P18" i="12"/>
  <c r="L18" i="12"/>
  <c r="J18" i="12"/>
  <c r="I18" i="12"/>
  <c r="G18" i="12"/>
  <c r="H18" i="12" s="1"/>
  <c r="D18" i="12"/>
  <c r="AB17" i="12"/>
  <c r="V17" i="12"/>
  <c r="Q17" i="12"/>
  <c r="Q26" i="12" s="1"/>
  <c r="P26" i="12" s="1"/>
  <c r="L17" i="12"/>
  <c r="J17" i="12"/>
  <c r="I17" i="12"/>
  <c r="H17" i="12"/>
  <c r="G17" i="12"/>
  <c r="D17" i="12"/>
  <c r="AB16" i="12"/>
  <c r="V16" i="12"/>
  <c r="P16" i="12"/>
  <c r="L16" i="12"/>
  <c r="J16" i="12"/>
  <c r="I16" i="12"/>
  <c r="G16" i="12"/>
  <c r="H16" i="12" s="1"/>
  <c r="D16" i="12"/>
  <c r="AB15" i="12"/>
  <c r="V15" i="12"/>
  <c r="P15" i="12"/>
  <c r="L15" i="12"/>
  <c r="J15" i="12"/>
  <c r="I15" i="12"/>
  <c r="G15" i="12"/>
  <c r="H15" i="12" s="1"/>
  <c r="D15" i="12"/>
  <c r="AB14" i="12"/>
  <c r="V14" i="12"/>
  <c r="P14" i="12"/>
  <c r="L14" i="12"/>
  <c r="J14" i="12"/>
  <c r="I14" i="12"/>
  <c r="G14" i="12"/>
  <c r="H14" i="12" s="1"/>
  <c r="D14" i="12"/>
  <c r="AB13" i="12"/>
  <c r="V13" i="12"/>
  <c r="P13" i="12"/>
  <c r="L13" i="12"/>
  <c r="J13" i="12"/>
  <c r="I13" i="12"/>
  <c r="H13" i="12"/>
  <c r="G13" i="12"/>
  <c r="D13" i="12"/>
  <c r="AB12" i="12"/>
  <c r="V12" i="12"/>
  <c r="P12" i="12"/>
  <c r="L12" i="12"/>
  <c r="J12" i="12"/>
  <c r="I12" i="12"/>
  <c r="G12" i="12"/>
  <c r="H12" i="12" s="1"/>
  <c r="D12" i="12"/>
  <c r="AB11" i="12"/>
  <c r="V11" i="12"/>
  <c r="P11" i="12"/>
  <c r="L11" i="12"/>
  <c r="J11" i="12"/>
  <c r="I11" i="12"/>
  <c r="H11" i="12"/>
  <c r="G11" i="12"/>
  <c r="D11" i="12"/>
  <c r="P10" i="12"/>
  <c r="L10" i="12"/>
  <c r="G10" i="12"/>
  <c r="H10" i="12" s="1"/>
  <c r="B10" i="12"/>
  <c r="B26" i="12" s="1"/>
  <c r="V26" i="12" s="1"/>
  <c r="AB9" i="12"/>
  <c r="V9" i="12"/>
  <c r="P9" i="12"/>
  <c r="L9" i="12"/>
  <c r="J9" i="12"/>
  <c r="I9" i="12"/>
  <c r="G9" i="12"/>
  <c r="H9" i="12" s="1"/>
  <c r="D9" i="12"/>
  <c r="AB8" i="12"/>
  <c r="V8" i="12"/>
  <c r="P8" i="12"/>
  <c r="L8" i="12"/>
  <c r="J8" i="12"/>
  <c r="I8" i="12"/>
  <c r="C8" i="12"/>
  <c r="G8" i="12" s="1"/>
  <c r="H8" i="12" s="1"/>
  <c r="AB7" i="12"/>
  <c r="V7" i="12"/>
  <c r="P7" i="12"/>
  <c r="L7" i="12"/>
  <c r="J7" i="12"/>
  <c r="I7" i="12"/>
  <c r="G7" i="12"/>
  <c r="H7" i="12" s="1"/>
  <c r="D7" i="12"/>
  <c r="AB6" i="12"/>
  <c r="V6" i="12"/>
  <c r="P6" i="12"/>
  <c r="L6" i="12"/>
  <c r="J6" i="12"/>
  <c r="I6" i="12"/>
  <c r="G6" i="12"/>
  <c r="H6" i="12" s="1"/>
  <c r="D6" i="12"/>
  <c r="AB5" i="12"/>
  <c r="V5" i="12"/>
  <c r="P5" i="12"/>
  <c r="L5" i="12"/>
  <c r="J5" i="12"/>
  <c r="I5" i="12"/>
  <c r="H5" i="12"/>
  <c r="G5" i="12"/>
  <c r="AB4" i="12"/>
  <c r="V4" i="12"/>
  <c r="P4" i="12"/>
  <c r="L4" i="12"/>
  <c r="J4" i="12"/>
  <c r="I4" i="12"/>
  <c r="H4" i="12"/>
  <c r="G4" i="12"/>
  <c r="D4" i="12"/>
  <c r="E41" i="11"/>
  <c r="E40" i="11"/>
  <c r="D40" i="11"/>
  <c r="E39" i="11"/>
  <c r="D39" i="11"/>
  <c r="D38" i="11"/>
  <c r="E36" i="11"/>
  <c r="D36" i="11"/>
  <c r="C35" i="11"/>
  <c r="D35" i="11" s="1"/>
  <c r="B35" i="11"/>
  <c r="D34" i="11"/>
  <c r="D33" i="11"/>
  <c r="C33" i="11"/>
  <c r="E31" i="11"/>
  <c r="D31" i="11"/>
  <c r="D30" i="11"/>
  <c r="C30" i="11"/>
  <c r="B30" i="11"/>
  <c r="D28" i="11"/>
  <c r="D27" i="11"/>
  <c r="D26" i="11"/>
  <c r="D25" i="11"/>
  <c r="D23" i="11"/>
  <c r="D22" i="11"/>
  <c r="D21" i="11"/>
  <c r="C20" i="11"/>
  <c r="D20" i="11" s="1"/>
  <c r="B20" i="11"/>
  <c r="D19" i="11"/>
  <c r="D18" i="11"/>
  <c r="D17" i="11"/>
  <c r="D16" i="11"/>
  <c r="D15" i="11"/>
  <c r="D14" i="11"/>
  <c r="D13" i="11"/>
  <c r="D12" i="11"/>
  <c r="D11" i="11"/>
  <c r="D10" i="11"/>
  <c r="D9" i="11"/>
  <c r="G7" i="11"/>
  <c r="E7" i="11"/>
  <c r="E34" i="11" s="1"/>
  <c r="D7" i="11"/>
  <c r="G6" i="11"/>
  <c r="H5" i="11"/>
  <c r="H9" i="11" s="1"/>
  <c r="G5" i="11"/>
  <c r="D5" i="11"/>
  <c r="C4" i="11"/>
  <c r="D4" i="11" s="1"/>
  <c r="B4" i="11"/>
  <c r="B29" i="11" s="1"/>
  <c r="B42" i="11" s="1"/>
  <c r="C24" i="10"/>
  <c r="B24" i="10"/>
  <c r="B20" i="10"/>
  <c r="B19" i="10"/>
  <c r="B18" i="10"/>
  <c r="B17" i="10"/>
  <c r="B16" i="10"/>
  <c r="H15" i="10"/>
  <c r="G15" i="10"/>
  <c r="E15" i="10"/>
  <c r="D15" i="10"/>
  <c r="C15" i="10"/>
  <c r="B15" i="10"/>
  <c r="C25" i="10" s="1"/>
  <c r="B14" i="10"/>
  <c r="B13" i="10"/>
  <c r="B12" i="10"/>
  <c r="B11" i="10"/>
  <c r="B10" i="10"/>
  <c r="B9" i="10"/>
  <c r="B8" i="10"/>
  <c r="H7" i="10"/>
  <c r="H21" i="10" s="1"/>
  <c r="H22" i="10" s="1"/>
  <c r="G7" i="10"/>
  <c r="G21" i="10" s="1"/>
  <c r="G22" i="10" s="1"/>
  <c r="E7" i="10"/>
  <c r="E21" i="10" s="1"/>
  <c r="E22" i="10" s="1"/>
  <c r="D7" i="10"/>
  <c r="D21" i="10" s="1"/>
  <c r="D22" i="10" s="1"/>
  <c r="C7" i="10"/>
  <c r="C21" i="10" s="1"/>
  <c r="B6" i="10"/>
  <c r="D22" i="9"/>
  <c r="D20" i="9"/>
  <c r="B6" i="9"/>
  <c r="B20" i="9" s="1"/>
  <c r="B22" i="9" s="1"/>
  <c r="E14" i="8"/>
  <c r="F13" i="8"/>
  <c r="D13" i="8"/>
  <c r="F12" i="8"/>
  <c r="F10" i="8"/>
  <c r="C7" i="8"/>
  <c r="F7" i="8" s="1"/>
  <c r="B7" i="8"/>
  <c r="B14" i="8" s="1"/>
  <c r="F5" i="8"/>
  <c r="J13" i="7"/>
  <c r="I13" i="7"/>
  <c r="H13" i="7"/>
  <c r="E13" i="7"/>
  <c r="C13" i="7"/>
  <c r="B13" i="7"/>
  <c r="H12" i="7"/>
  <c r="F12" i="7"/>
  <c r="D12" i="7"/>
  <c r="H11" i="7"/>
  <c r="F11" i="7"/>
  <c r="D11" i="7"/>
  <c r="K10" i="7"/>
  <c r="H10" i="7"/>
  <c r="F10" i="7"/>
  <c r="D10" i="7"/>
  <c r="H9" i="7"/>
  <c r="F9" i="7"/>
  <c r="D9" i="7"/>
  <c r="H8" i="7"/>
  <c r="F8" i="7"/>
  <c r="D8" i="7"/>
  <c r="H7" i="7"/>
  <c r="F7" i="7"/>
  <c r="D7" i="7"/>
  <c r="H6" i="7"/>
  <c r="F6" i="7"/>
  <c r="H5" i="7"/>
  <c r="F5" i="7"/>
  <c r="H4" i="7"/>
  <c r="K14" i="6"/>
  <c r="J14" i="6"/>
  <c r="I14" i="6"/>
  <c r="E14" i="6"/>
  <c r="B14" i="6"/>
  <c r="I13" i="6"/>
  <c r="F13" i="6"/>
  <c r="D13" i="6"/>
  <c r="C12" i="6"/>
  <c r="F12" i="6" s="1"/>
  <c r="I11" i="6"/>
  <c r="I10" i="6"/>
  <c r="F10" i="6"/>
  <c r="I9" i="6"/>
  <c r="D9" i="6"/>
  <c r="C9" i="6"/>
  <c r="F9" i="6" s="1"/>
  <c r="I8" i="6"/>
  <c r="F8" i="6"/>
  <c r="D8" i="6"/>
  <c r="I7" i="6"/>
  <c r="C7" i="6"/>
  <c r="I6" i="6"/>
  <c r="I5" i="6"/>
  <c r="F5" i="6"/>
  <c r="D5" i="6"/>
  <c r="I4" i="6"/>
  <c r="F4" i="6"/>
  <c r="D4" i="6"/>
  <c r="J18" i="5"/>
  <c r="I18" i="5"/>
  <c r="E18" i="5"/>
  <c r="C18" i="5"/>
  <c r="D18" i="5" s="1"/>
  <c r="B18" i="5"/>
  <c r="H17" i="5"/>
  <c r="H16" i="5"/>
  <c r="F16" i="5"/>
  <c r="D16" i="5"/>
  <c r="H15" i="5"/>
  <c r="F15" i="5"/>
  <c r="D15" i="5"/>
  <c r="H14" i="5"/>
  <c r="H13" i="5"/>
  <c r="F13" i="5"/>
  <c r="H12" i="5"/>
  <c r="F12" i="5"/>
  <c r="D12" i="5"/>
  <c r="H11" i="5"/>
  <c r="H10" i="5"/>
  <c r="H9" i="5"/>
  <c r="F9" i="5"/>
  <c r="D9" i="5"/>
  <c r="H8" i="5"/>
  <c r="F8" i="5"/>
  <c r="D8" i="5"/>
  <c r="H7" i="5"/>
  <c r="F7" i="5"/>
  <c r="D7" i="5"/>
  <c r="H6" i="5"/>
  <c r="F6" i="5"/>
  <c r="H5" i="5"/>
  <c r="F5" i="5"/>
  <c r="H4" i="5"/>
  <c r="D26" i="4"/>
  <c r="C26" i="4"/>
  <c r="B26" i="4"/>
  <c r="F25" i="4"/>
  <c r="D25" i="4"/>
  <c r="F24" i="4"/>
  <c r="D24" i="4"/>
  <c r="F23" i="4"/>
  <c r="D23" i="4"/>
  <c r="F22" i="4"/>
  <c r="D22" i="4"/>
  <c r="F21" i="4"/>
  <c r="D21" i="4"/>
  <c r="F20" i="4"/>
  <c r="F19" i="4"/>
  <c r="D19" i="4"/>
  <c r="F18" i="4"/>
  <c r="D18" i="4"/>
  <c r="F17" i="4"/>
  <c r="D17" i="4"/>
  <c r="F16" i="4"/>
  <c r="D16" i="4"/>
  <c r="F15" i="4"/>
  <c r="D15" i="4"/>
  <c r="F14" i="4"/>
  <c r="D14" i="4"/>
  <c r="H13" i="4"/>
  <c r="F13" i="4" s="1"/>
  <c r="D13" i="4"/>
  <c r="H12" i="4"/>
  <c r="H26" i="4" s="1"/>
  <c r="F12" i="4"/>
  <c r="D12" i="4"/>
  <c r="G11" i="4"/>
  <c r="D11" i="4"/>
  <c r="F10" i="4"/>
  <c r="D10" i="4"/>
  <c r="F9" i="4"/>
  <c r="D9" i="4"/>
  <c r="F8" i="4"/>
  <c r="D8" i="4"/>
  <c r="F7" i="4"/>
  <c r="D7" i="4"/>
  <c r="F6" i="4"/>
  <c r="D6" i="4"/>
  <c r="F5" i="4"/>
  <c r="F4" i="4"/>
  <c r="D4" i="4"/>
  <c r="M46" i="3"/>
  <c r="L46" i="3"/>
  <c r="M47" i="3" s="1"/>
  <c r="N42" i="3"/>
  <c r="L40" i="3"/>
  <c r="F40" i="3"/>
  <c r="D40" i="3"/>
  <c r="L39" i="3"/>
  <c r="L38" i="3"/>
  <c r="F38" i="3"/>
  <c r="D38" i="3"/>
  <c r="L37" i="3"/>
  <c r="F37" i="3"/>
  <c r="L36" i="3"/>
  <c r="F36" i="3"/>
  <c r="D36" i="3"/>
  <c r="M35" i="3"/>
  <c r="L35" i="3"/>
  <c r="F35" i="3"/>
  <c r="E35" i="3"/>
  <c r="C35" i="3"/>
  <c r="G35" i="3" s="1"/>
  <c r="B35" i="3"/>
  <c r="D35" i="3" s="1"/>
  <c r="L34" i="3"/>
  <c r="F34" i="3"/>
  <c r="D34" i="3"/>
  <c r="L33" i="3"/>
  <c r="G33" i="3"/>
  <c r="F33" i="3"/>
  <c r="D33" i="3"/>
  <c r="L32" i="3"/>
  <c r="F32" i="3"/>
  <c r="L31" i="3"/>
  <c r="G31" i="3"/>
  <c r="F31" i="3"/>
  <c r="D31" i="3"/>
  <c r="M30" i="3"/>
  <c r="L30" i="3" s="1"/>
  <c r="G30" i="3"/>
  <c r="E30" i="3"/>
  <c r="C30" i="3"/>
  <c r="B30" i="3"/>
  <c r="G29" i="3"/>
  <c r="C29" i="3"/>
  <c r="L28" i="3"/>
  <c r="G28" i="3"/>
  <c r="F28" i="3"/>
  <c r="D28" i="3"/>
  <c r="L27" i="3"/>
  <c r="G27" i="3"/>
  <c r="F27" i="3"/>
  <c r="D27" i="3"/>
  <c r="L26" i="3"/>
  <c r="G26" i="3"/>
  <c r="F26" i="3"/>
  <c r="L25" i="3"/>
  <c r="F25" i="3"/>
  <c r="D25" i="3"/>
  <c r="L24" i="3"/>
  <c r="L23" i="3"/>
  <c r="F23" i="3"/>
  <c r="D23" i="3"/>
  <c r="L22" i="3"/>
  <c r="F22" i="3"/>
  <c r="D22" i="3"/>
  <c r="L21" i="3"/>
  <c r="F21" i="3"/>
  <c r="D21" i="3"/>
  <c r="M20" i="3"/>
  <c r="L20" i="3" s="1"/>
  <c r="F20" i="3"/>
  <c r="E20" i="3"/>
  <c r="C20" i="3"/>
  <c r="B20" i="3"/>
  <c r="D20" i="3" s="1"/>
  <c r="L18" i="3"/>
  <c r="G18" i="3"/>
  <c r="F18" i="3"/>
  <c r="D18" i="3"/>
  <c r="L17" i="3"/>
  <c r="G17" i="3"/>
  <c r="F17" i="3"/>
  <c r="D17" i="3"/>
  <c r="L16" i="3"/>
  <c r="L15" i="3"/>
  <c r="F15" i="3"/>
  <c r="L14" i="3"/>
  <c r="F14" i="3"/>
  <c r="D14" i="3"/>
  <c r="L13" i="3"/>
  <c r="F13" i="3"/>
  <c r="D13" i="3"/>
  <c r="L12" i="3"/>
  <c r="G12" i="3"/>
  <c r="F12" i="3"/>
  <c r="D12" i="3"/>
  <c r="L11" i="3"/>
  <c r="G11" i="3"/>
  <c r="F11" i="3"/>
  <c r="D11" i="3"/>
  <c r="L10" i="3"/>
  <c r="I10" i="3"/>
  <c r="G10" i="3"/>
  <c r="L9" i="3"/>
  <c r="I9" i="3"/>
  <c r="I11" i="3" s="1"/>
  <c r="I12" i="3" s="1"/>
  <c r="I13" i="3" s="1"/>
  <c r="G9" i="3"/>
  <c r="F9" i="3"/>
  <c r="D9" i="3"/>
  <c r="L8" i="3"/>
  <c r="G8" i="3"/>
  <c r="L7" i="3"/>
  <c r="J7" i="3"/>
  <c r="G7" i="3"/>
  <c r="F7" i="3"/>
  <c r="D7" i="3"/>
  <c r="L6" i="3"/>
  <c r="J6" i="3"/>
  <c r="I6" i="3"/>
  <c r="G6" i="3"/>
  <c r="F6" i="3"/>
  <c r="L5" i="3"/>
  <c r="J5" i="3"/>
  <c r="I5" i="3"/>
  <c r="G5" i="3"/>
  <c r="F5" i="3"/>
  <c r="D5" i="3"/>
  <c r="M4" i="3"/>
  <c r="M29" i="3" s="1"/>
  <c r="L4" i="3"/>
  <c r="E4" i="3"/>
  <c r="E29" i="3" s="1"/>
  <c r="E42" i="3" s="1"/>
  <c r="E43" i="3" s="1"/>
  <c r="F43" i="3" s="1"/>
  <c r="D4" i="3"/>
  <c r="C4" i="3"/>
  <c r="G4" i="3" s="1"/>
  <c r="B4" i="3"/>
  <c r="B29" i="3" s="1"/>
  <c r="B42" i="3" s="1"/>
  <c r="B43" i="3" s="1"/>
  <c r="D43" i="3" s="1"/>
  <c r="M2" i="3"/>
  <c r="C29" i="2"/>
  <c r="B29" i="2"/>
  <c r="C30" i="2" s="1"/>
  <c r="I26" i="2"/>
  <c r="F26" i="2"/>
  <c r="C26" i="2"/>
  <c r="B26" i="2"/>
  <c r="D26" i="2" s="1"/>
  <c r="H25" i="2"/>
  <c r="F25" i="2"/>
  <c r="D25" i="2"/>
  <c r="H24" i="2"/>
  <c r="F24" i="2"/>
  <c r="D24" i="2"/>
  <c r="H23" i="2"/>
  <c r="F23" i="2"/>
  <c r="D23" i="2"/>
  <c r="H22" i="2"/>
  <c r="F22" i="2"/>
  <c r="D22" i="2"/>
  <c r="H21" i="2"/>
  <c r="F21" i="2"/>
  <c r="D21" i="2"/>
  <c r="H20" i="2"/>
  <c r="F20" i="2"/>
  <c r="H19" i="2"/>
  <c r="F19" i="2"/>
  <c r="D19" i="2"/>
  <c r="H18" i="2"/>
  <c r="F18" i="2"/>
  <c r="G18" i="2" s="1"/>
  <c r="D18" i="2"/>
  <c r="H17" i="2"/>
  <c r="F17" i="2"/>
  <c r="G17" i="2" s="1"/>
  <c r="D17" i="2"/>
  <c r="H16" i="2"/>
  <c r="F16" i="2"/>
  <c r="G16" i="2" s="1"/>
  <c r="D16" i="2"/>
  <c r="H15" i="2"/>
  <c r="F15" i="2"/>
  <c r="G15" i="2" s="1"/>
  <c r="D15" i="2"/>
  <c r="H14" i="2"/>
  <c r="F14" i="2"/>
  <c r="G14" i="2" s="1"/>
  <c r="D14" i="2"/>
  <c r="H13" i="2"/>
  <c r="F13" i="2"/>
  <c r="G13" i="2" s="1"/>
  <c r="D13" i="2"/>
  <c r="H12" i="2"/>
  <c r="F12" i="2"/>
  <c r="G12" i="2" s="1"/>
  <c r="D12" i="2"/>
  <c r="H11" i="2"/>
  <c r="F11" i="2"/>
  <c r="G11" i="2" s="1"/>
  <c r="D11" i="2"/>
  <c r="H10" i="2"/>
  <c r="F10" i="2"/>
  <c r="G10" i="2" s="1"/>
  <c r="D10" i="2"/>
  <c r="H9" i="2"/>
  <c r="F9" i="2"/>
  <c r="G9" i="2" s="1"/>
  <c r="D9" i="2"/>
  <c r="J8" i="2"/>
  <c r="H8" i="2" s="1"/>
  <c r="F8" i="2"/>
  <c r="G8" i="2" s="1"/>
  <c r="D8" i="2"/>
  <c r="J7" i="2"/>
  <c r="H7" i="2"/>
  <c r="F7" i="2"/>
  <c r="G7" i="2" s="1"/>
  <c r="D7" i="2"/>
  <c r="H6" i="2"/>
  <c r="F6" i="2"/>
  <c r="G6" i="2" s="1"/>
  <c r="D6" i="2"/>
  <c r="H5" i="2"/>
  <c r="F5" i="2"/>
  <c r="G5" i="2" s="1"/>
  <c r="J4" i="2"/>
  <c r="J26" i="2" s="1"/>
  <c r="H4" i="2"/>
  <c r="F4" i="2"/>
  <c r="G4" i="2" s="1"/>
  <c r="D4" i="2"/>
  <c r="F43" i="1"/>
  <c r="E43" i="1"/>
  <c r="F40" i="1"/>
  <c r="D40" i="1"/>
  <c r="F39" i="1"/>
  <c r="D39" i="1"/>
  <c r="F38" i="1"/>
  <c r="D38" i="1"/>
  <c r="F37" i="1"/>
  <c r="F36" i="1"/>
  <c r="D36" i="1"/>
  <c r="F35" i="1"/>
  <c r="E35" i="1"/>
  <c r="C35" i="1"/>
  <c r="B35" i="1"/>
  <c r="F34" i="1"/>
  <c r="D34" i="1"/>
  <c r="F33" i="1"/>
  <c r="D33" i="1"/>
  <c r="F31" i="1"/>
  <c r="D31" i="1"/>
  <c r="E30" i="1"/>
  <c r="C30" i="1"/>
  <c r="D30" i="1" s="1"/>
  <c r="B30" i="1"/>
  <c r="F28" i="1"/>
  <c r="D28" i="1"/>
  <c r="F27" i="1"/>
  <c r="D27" i="1"/>
  <c r="F26" i="1"/>
  <c r="F25" i="1"/>
  <c r="D25" i="1"/>
  <c r="F23" i="1"/>
  <c r="D23" i="1"/>
  <c r="F22" i="1"/>
  <c r="B22" i="1"/>
  <c r="F21" i="1"/>
  <c r="D21" i="1"/>
  <c r="E20" i="1"/>
  <c r="C20" i="1"/>
  <c r="F18" i="1"/>
  <c r="D18" i="1"/>
  <c r="B18" i="1"/>
  <c r="F17" i="1"/>
  <c r="D17" i="1"/>
  <c r="F16" i="1"/>
  <c r="D16" i="1"/>
  <c r="F15" i="1"/>
  <c r="D15" i="1"/>
  <c r="F14" i="1"/>
  <c r="D14" i="1"/>
  <c r="F13" i="1"/>
  <c r="D13" i="1"/>
  <c r="F12" i="1"/>
  <c r="D12" i="1"/>
  <c r="F11" i="1"/>
  <c r="D11" i="1"/>
  <c r="F10" i="1"/>
  <c r="D10" i="1"/>
  <c r="F9" i="1"/>
  <c r="D9" i="1"/>
  <c r="F7" i="1"/>
  <c r="D7" i="1"/>
  <c r="F6" i="1"/>
  <c r="F5" i="1"/>
  <c r="D5" i="1"/>
  <c r="E4" i="1"/>
  <c r="E29" i="1" s="1"/>
  <c r="E42" i="1" s="1"/>
  <c r="D4" i="1"/>
  <c r="C4" i="1"/>
  <c r="F4" i="1" s="1"/>
  <c r="B4" i="1"/>
  <c r="M42" i="3" l="1"/>
  <c r="L29" i="3"/>
  <c r="C22" i="26"/>
  <c r="B22" i="26" s="1"/>
  <c r="B21" i="26"/>
  <c r="F13" i="7"/>
  <c r="D13" i="7"/>
  <c r="B21" i="10"/>
  <c r="C22" i="10"/>
  <c r="B22" i="10" s="1"/>
  <c r="D35" i="1"/>
  <c r="D20" i="1"/>
  <c r="D22" i="1"/>
  <c r="B20" i="1"/>
  <c r="B29" i="1" s="1"/>
  <c r="B42" i="1" s="1"/>
  <c r="B43" i="1" s="1"/>
  <c r="D43" i="1" s="1"/>
  <c r="H26" i="2"/>
  <c r="F30" i="3"/>
  <c r="D30" i="3"/>
  <c r="F11" i="4"/>
  <c r="G26" i="4"/>
  <c r="F26" i="4" s="1"/>
  <c r="H18" i="5"/>
  <c r="B7" i="10"/>
  <c r="B25" i="10" s="1"/>
  <c r="C16" i="27"/>
  <c r="F29" i="3"/>
  <c r="C42" i="3"/>
  <c r="D29" i="3"/>
  <c r="F7" i="6"/>
  <c r="D7" i="6"/>
  <c r="C14" i="6"/>
  <c r="D27" i="13"/>
  <c r="C29" i="11"/>
  <c r="E16" i="31"/>
  <c r="C16" i="32"/>
  <c r="F20" i="1"/>
  <c r="C29" i="1"/>
  <c r="F30" i="1"/>
  <c r="F18" i="5"/>
  <c r="C14" i="8"/>
  <c r="E38" i="11"/>
  <c r="D10" i="12"/>
  <c r="J10" i="12"/>
  <c r="AB10" i="12"/>
  <c r="D26" i="12"/>
  <c r="P35" i="14"/>
  <c r="Q35" i="14" s="1"/>
  <c r="B27" i="15"/>
  <c r="L11" i="15"/>
  <c r="D34" i="15"/>
  <c r="C597" i="17"/>
  <c r="D598" i="17"/>
  <c r="D9" i="19"/>
  <c r="D7" i="20"/>
  <c r="D15" i="20"/>
  <c r="D18" i="20"/>
  <c r="D9" i="21"/>
  <c r="E16" i="27"/>
  <c r="E16" i="28"/>
  <c r="N16" i="30"/>
  <c r="E16" i="32"/>
  <c r="D26" i="20"/>
  <c r="F14" i="27"/>
  <c r="F15" i="27" s="1"/>
  <c r="F4" i="3"/>
  <c r="D7" i="8"/>
  <c r="D8" i="12"/>
  <c r="AB26" i="12"/>
  <c r="C29" i="14"/>
  <c r="O29" i="14"/>
  <c r="D11" i="15"/>
  <c r="O11" i="15"/>
  <c r="O29" i="15"/>
  <c r="D25" i="16"/>
  <c r="F15" i="16" s="1"/>
  <c r="B28" i="20"/>
  <c r="D27" i="20"/>
  <c r="D18" i="21"/>
  <c r="D5" i="22"/>
  <c r="C4" i="22"/>
  <c r="F16" i="27"/>
  <c r="I14" i="30"/>
  <c r="I15" i="30" s="1"/>
  <c r="I16" i="30" s="1"/>
  <c r="M14" i="30"/>
  <c r="M15" i="30" s="1"/>
  <c r="M16" i="30" s="1"/>
  <c r="I10" i="12"/>
  <c r="V10" i="12"/>
  <c r="P31" i="12"/>
  <c r="C16" i="28"/>
  <c r="E17" i="29"/>
  <c r="E18" i="29" s="1"/>
  <c r="P17" i="12"/>
  <c r="Q4" i="14"/>
  <c r="Q20" i="14"/>
  <c r="M29" i="14"/>
  <c r="N29" i="14" s="1"/>
  <c r="P30" i="14"/>
  <c r="Q30" i="14" s="1"/>
  <c r="E11" i="15"/>
  <c r="I27" i="15"/>
  <c r="C28" i="20"/>
  <c r="D4" i="20"/>
  <c r="B6" i="41"/>
  <c r="C15" i="41" s="1"/>
  <c r="D15" i="41" s="1"/>
  <c r="K14" i="30"/>
  <c r="K15" i="30" s="1"/>
  <c r="K16" i="30" s="1"/>
  <c r="C16" i="31"/>
  <c r="F14" i="31"/>
  <c r="F15" i="31" s="1"/>
  <c r="F16" i="31" s="1"/>
  <c r="I21" i="12"/>
  <c r="V21" i="12"/>
  <c r="U14" i="14"/>
  <c r="P29" i="14"/>
  <c r="L13" i="15"/>
  <c r="F17" i="29"/>
  <c r="L14" i="30"/>
  <c r="L15" i="30" s="1"/>
  <c r="L16" i="30" s="1"/>
  <c r="F14" i="32"/>
  <c r="D21" i="12"/>
  <c r="J21" i="12"/>
  <c r="D13" i="15"/>
  <c r="C18" i="29" l="1"/>
  <c r="C19" i="29" s="1"/>
  <c r="E19" i="29"/>
  <c r="B33" i="15"/>
  <c r="N31" i="15" s="1"/>
  <c r="L27" i="15"/>
  <c r="B31" i="15"/>
  <c r="E27" i="15"/>
  <c r="J29" i="2"/>
  <c r="H29" i="2"/>
  <c r="C26" i="22"/>
  <c r="D4" i="22"/>
  <c r="C42" i="14"/>
  <c r="D42" i="14" s="1"/>
  <c r="D29" i="14"/>
  <c r="Q29" i="14"/>
  <c r="P42" i="14"/>
  <c r="Q42" i="14" s="1"/>
  <c r="D27" i="15"/>
  <c r="C42" i="1"/>
  <c r="D29" i="1"/>
  <c r="F29" i="1"/>
  <c r="C42" i="11"/>
  <c r="D42" i="11" s="1"/>
  <c r="D29" i="11"/>
  <c r="C596" i="17"/>
  <c r="D597" i="17"/>
  <c r="F14" i="6"/>
  <c r="D14" i="6"/>
  <c r="D42" i="3"/>
  <c r="F42" i="3"/>
  <c r="D28" i="20"/>
  <c r="D14" i="8"/>
  <c r="F14" i="8"/>
  <c r="N27" i="13"/>
  <c r="C28" i="13"/>
  <c r="L49" i="3"/>
  <c r="L42" i="3"/>
  <c r="M49" i="3" s="1"/>
  <c r="C623" i="17" l="1"/>
  <c r="D596" i="17"/>
  <c r="D623" i="17" s="1"/>
  <c r="C32" i="22"/>
  <c r="D32" i="22" s="1"/>
  <c r="D26" i="22"/>
  <c r="E31" i="15"/>
  <c r="D31" i="15"/>
  <c r="F42" i="1"/>
  <c r="D42" i="1"/>
  <c r="F18" i="29"/>
  <c r="F19" i="29" s="1"/>
</calcChain>
</file>

<file path=xl/sharedStrings.xml><?xml version="1.0" encoding="utf-8"?>
<sst xmlns="http://schemas.openxmlformats.org/spreadsheetml/2006/main" count="2006" uniqueCount="1248">
  <si>
    <t>目      录</t>
  </si>
  <si>
    <t>1、</t>
  </si>
  <si>
    <t>2018年益阳市(汇总)一般公共预算收入预算执行情况</t>
  </si>
  <si>
    <t>2、</t>
  </si>
  <si>
    <t>2018年益阳市(汇总)一般公共预算支出预算执行情况</t>
  </si>
  <si>
    <t>3、</t>
  </si>
  <si>
    <t>2018年市本级一般公共预算收入预算执行情况</t>
  </si>
  <si>
    <t>4、</t>
  </si>
  <si>
    <t>2018年市本级一般公共预算支出预算执行情况</t>
  </si>
  <si>
    <t>5、</t>
  </si>
  <si>
    <t>2018年益阳市(汇总)政府性基金收入预算执行情况</t>
  </si>
  <si>
    <t>6、</t>
  </si>
  <si>
    <t>2018年益阳市(汇总)政府性基金支出预算执行情况</t>
  </si>
  <si>
    <t>7、</t>
  </si>
  <si>
    <t>2018年市本级政府性基金收入预算执行情况</t>
  </si>
  <si>
    <t>8、</t>
  </si>
  <si>
    <t>2018年市本级政府性基金支出预算执行情况</t>
  </si>
  <si>
    <t>9、</t>
  </si>
  <si>
    <t>2018年市本级国有资本经营预算收支执行情况</t>
  </si>
  <si>
    <t>10、</t>
  </si>
  <si>
    <t>2018年市本级社会保险基金预算执行情况</t>
  </si>
  <si>
    <t>11、</t>
  </si>
  <si>
    <t>2019年益阳市(汇总)一般公共预算收入预算表</t>
  </si>
  <si>
    <t>12、</t>
  </si>
  <si>
    <t>2019年益阳市(汇总)一般公共预算支出预算表</t>
  </si>
  <si>
    <t>13、</t>
  </si>
  <si>
    <t>2019年益阳市（汇总）一般公共预算收支平衡表</t>
  </si>
  <si>
    <t>14、</t>
  </si>
  <si>
    <t>2019年市本级一般公共预算收入预算表</t>
  </si>
  <si>
    <t>15、</t>
  </si>
  <si>
    <t>2019年市本级一般公共预算支出预算表</t>
  </si>
  <si>
    <t>16、</t>
  </si>
  <si>
    <t>2019年市本级一般公共预算收支平衡表</t>
  </si>
  <si>
    <t>17、</t>
  </si>
  <si>
    <t>2019年市本级一般公共预算支出明细表</t>
  </si>
  <si>
    <t>18、</t>
  </si>
  <si>
    <t>2019年市本级一般公共预算基本支出明细表</t>
  </si>
  <si>
    <t>19、</t>
  </si>
  <si>
    <t>2019年益阳市（汇总）政府性基金收入预算</t>
  </si>
  <si>
    <t>20、</t>
  </si>
  <si>
    <t>2019年益阳市（汇总）政府性基金支出预算</t>
  </si>
  <si>
    <t>21、</t>
  </si>
  <si>
    <t>2019年市本级政府性基金收入预算</t>
  </si>
  <si>
    <t>22、</t>
  </si>
  <si>
    <t>2019年市本级政府性基金支出预算</t>
  </si>
  <si>
    <t>23、</t>
  </si>
  <si>
    <t>2019年市本级国有资本经营预算收支预算总表</t>
  </si>
  <si>
    <t>24、</t>
  </si>
  <si>
    <t>2019年益阳市市级国有资本经营预算收入明细表</t>
  </si>
  <si>
    <t>25、</t>
  </si>
  <si>
    <t>2019年益阳市市级国有资本经营预算支出明细表</t>
  </si>
  <si>
    <t>26、</t>
  </si>
  <si>
    <t>2019年市本级社会保险基金预算总表</t>
  </si>
  <si>
    <t>27、</t>
  </si>
  <si>
    <t>2019年市本级社会保险基金预算收入表</t>
  </si>
  <si>
    <t>28、</t>
  </si>
  <si>
    <t>2019年市本级社会保险基金预算支出表</t>
  </si>
  <si>
    <t>29、</t>
  </si>
  <si>
    <t>2019年市本级企业职工基本养老保险基金预算表</t>
  </si>
  <si>
    <t>30、</t>
  </si>
  <si>
    <t>2019年市本级机关事业单位养老保险基金预算表</t>
  </si>
  <si>
    <t>31、</t>
  </si>
  <si>
    <t>2019年市本级失业保险基金预算表</t>
  </si>
  <si>
    <t>32、</t>
  </si>
  <si>
    <t>2019年市本级城镇职工医疗保险基金预算表</t>
  </si>
  <si>
    <t>33、</t>
  </si>
  <si>
    <t>2019年市本级工伤保险基金预算表</t>
  </si>
  <si>
    <t>34、</t>
  </si>
  <si>
    <t>2019年市本级生育保险基金预算表</t>
  </si>
  <si>
    <t>35、</t>
  </si>
  <si>
    <t>2019年市对区税收返还和转移支付表</t>
  </si>
  <si>
    <t>36、</t>
  </si>
  <si>
    <t>2019年税收返还分地区表</t>
  </si>
  <si>
    <t>37、</t>
  </si>
  <si>
    <t>2019年市对区一般公共预算专项转移支付分地区表</t>
  </si>
  <si>
    <t>38、</t>
  </si>
  <si>
    <t>2019年政府性基金预算市对区专项转移支付表</t>
  </si>
  <si>
    <t>39、</t>
  </si>
  <si>
    <t>2019年政府性基金预算市对区专项转移支付分地区表</t>
  </si>
  <si>
    <t>40、</t>
  </si>
  <si>
    <t>2019年市本级政府预算重点民生项目表</t>
  </si>
  <si>
    <r>
      <rPr>
        <sz val="11"/>
        <rFont val="宋体"/>
        <family val="3"/>
        <charset val="134"/>
      </rPr>
      <t>单位：万元</t>
    </r>
  </si>
  <si>
    <r>
      <rPr>
        <sz val="11"/>
        <rFont val="宋体"/>
        <family val="3"/>
        <charset val="134"/>
      </rPr>
      <t>收入项目</t>
    </r>
  </si>
  <si>
    <r>
      <rPr>
        <sz val="11"/>
        <rFont val="Times New Roman"/>
        <family val="1"/>
      </rPr>
      <t>2018</t>
    </r>
    <r>
      <rPr>
        <sz val="11"/>
        <rFont val="宋体"/>
        <family val="3"/>
        <charset val="134"/>
      </rPr>
      <t>年</t>
    </r>
    <r>
      <rPr>
        <sz val="11"/>
        <rFont val="Times New Roman"/>
        <family val="1"/>
      </rPr>
      <t xml:space="preserve">       </t>
    </r>
    <r>
      <rPr>
        <sz val="11"/>
        <rFont val="宋体"/>
        <family val="3"/>
        <charset val="134"/>
      </rPr>
      <t>预算数</t>
    </r>
  </si>
  <si>
    <r>
      <rPr>
        <sz val="11"/>
        <rFont val="Times New Roman"/>
        <family val="1"/>
      </rPr>
      <t>2018</t>
    </r>
    <r>
      <rPr>
        <sz val="11"/>
        <rFont val="宋体"/>
        <family val="3"/>
        <charset val="134"/>
      </rPr>
      <t>年
完成数</t>
    </r>
  </si>
  <si>
    <r>
      <rPr>
        <sz val="11"/>
        <rFont val="宋体"/>
        <family val="3"/>
        <charset val="134"/>
      </rPr>
      <t>完成预算％</t>
    </r>
  </si>
  <si>
    <r>
      <rPr>
        <sz val="11"/>
        <rFont val="Times New Roman"/>
        <family val="1"/>
      </rPr>
      <t>2017</t>
    </r>
    <r>
      <rPr>
        <sz val="11"/>
        <rFont val="宋体"/>
        <family val="3"/>
        <charset val="134"/>
      </rPr>
      <t>年
决算数</t>
    </r>
  </si>
  <si>
    <t>比上年
增长％</t>
  </si>
  <si>
    <t>合计</t>
  </si>
  <si>
    <t>汇总数</t>
  </si>
  <si>
    <t>调整数</t>
  </si>
  <si>
    <t>12.21金库数</t>
  </si>
  <si>
    <t>一、税收收入</t>
  </si>
  <si>
    <r>
      <rPr>
        <sz val="11"/>
        <rFont val="Times New Roman"/>
        <family val="1"/>
      </rPr>
      <t xml:space="preserve">    </t>
    </r>
    <r>
      <rPr>
        <sz val="11"/>
        <rFont val="宋体"/>
        <family val="3"/>
        <charset val="134"/>
      </rPr>
      <t>增值税</t>
    </r>
    <r>
      <rPr>
        <sz val="11"/>
        <rFont val="Times New Roman"/>
        <family val="1"/>
      </rPr>
      <t>37.5%</t>
    </r>
  </si>
  <si>
    <r>
      <rPr>
        <sz val="11"/>
        <rFont val="Times New Roman"/>
        <family val="1"/>
      </rPr>
      <t xml:space="preserve">    </t>
    </r>
    <r>
      <rPr>
        <sz val="11"/>
        <rFont val="宋体"/>
        <family val="3"/>
        <charset val="134"/>
      </rPr>
      <t>营业税</t>
    </r>
    <r>
      <rPr>
        <sz val="11"/>
        <rFont val="Times New Roman"/>
        <family val="1"/>
      </rPr>
      <t>37.5%</t>
    </r>
  </si>
  <si>
    <r>
      <rPr>
        <sz val="11"/>
        <rFont val="Times New Roman"/>
        <family val="1"/>
      </rPr>
      <t xml:space="preserve">    </t>
    </r>
    <r>
      <rPr>
        <sz val="11"/>
        <rFont val="宋体"/>
        <family val="3"/>
        <charset val="134"/>
      </rPr>
      <t>企业所得税</t>
    </r>
    <r>
      <rPr>
        <sz val="11"/>
        <rFont val="Times New Roman"/>
        <family val="1"/>
      </rPr>
      <t>28%</t>
    </r>
  </si>
  <si>
    <r>
      <rPr>
        <sz val="11"/>
        <rFont val="Times New Roman"/>
        <family val="1"/>
      </rPr>
      <t xml:space="preserve">    </t>
    </r>
    <r>
      <rPr>
        <sz val="11"/>
        <rFont val="宋体"/>
        <family val="3"/>
        <charset val="134"/>
      </rPr>
      <t>企业所得税退税</t>
    </r>
  </si>
  <si>
    <r>
      <rPr>
        <sz val="11"/>
        <rFont val="Times New Roman"/>
        <family val="1"/>
      </rPr>
      <t xml:space="preserve">    </t>
    </r>
    <r>
      <rPr>
        <sz val="11"/>
        <rFont val="宋体"/>
        <family val="3"/>
        <charset val="134"/>
      </rPr>
      <t>个人所得税</t>
    </r>
    <r>
      <rPr>
        <sz val="11"/>
        <rFont val="Times New Roman"/>
        <family val="1"/>
      </rPr>
      <t>28%</t>
    </r>
  </si>
  <si>
    <r>
      <rPr>
        <sz val="11"/>
        <rFont val="Times New Roman"/>
        <family val="1"/>
      </rPr>
      <t xml:space="preserve">    </t>
    </r>
    <r>
      <rPr>
        <sz val="11"/>
        <rFont val="宋体"/>
        <family val="3"/>
        <charset val="134"/>
      </rPr>
      <t>资源税</t>
    </r>
    <r>
      <rPr>
        <sz val="11"/>
        <rFont val="Times New Roman"/>
        <family val="1"/>
      </rPr>
      <t>75%</t>
    </r>
  </si>
  <si>
    <t xml:space="preserve">    城市维护建设税</t>
  </si>
  <si>
    <t xml:space="preserve">    房产税</t>
  </si>
  <si>
    <t xml:space="preserve">    印花税</t>
  </si>
  <si>
    <r>
      <rPr>
        <sz val="11"/>
        <rFont val="Times New Roman"/>
        <family val="1"/>
      </rPr>
      <t xml:space="preserve">    </t>
    </r>
    <r>
      <rPr>
        <sz val="11"/>
        <rFont val="宋体"/>
        <family val="3"/>
        <charset val="134"/>
      </rPr>
      <t>城镇土地使用税</t>
    </r>
    <r>
      <rPr>
        <sz val="11"/>
        <rFont val="Times New Roman"/>
        <family val="1"/>
      </rPr>
      <t>70%</t>
    </r>
  </si>
  <si>
    <t xml:space="preserve">    土地增值税</t>
  </si>
  <si>
    <t xml:space="preserve">    车船税</t>
  </si>
  <si>
    <t xml:space="preserve">    耕地占用税</t>
  </si>
  <si>
    <t xml:space="preserve">    契税</t>
  </si>
  <si>
    <r>
      <rPr>
        <sz val="11"/>
        <rFont val="Times New Roman"/>
        <family val="1"/>
      </rPr>
      <t xml:space="preserve">    </t>
    </r>
    <r>
      <rPr>
        <sz val="11"/>
        <rFont val="宋体"/>
        <family val="3"/>
        <charset val="134"/>
      </rPr>
      <t>环境保护税</t>
    </r>
    <r>
      <rPr>
        <sz val="11"/>
        <rFont val="Times New Roman"/>
        <family val="1"/>
      </rPr>
      <t>70%</t>
    </r>
  </si>
  <si>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</si>
  <si>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</si>
  <si>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</si>
  <si>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</si>
  <si>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</si>
  <si>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</si>
  <si>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</si>
  <si>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</si>
  <si>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</si>
  <si>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地方收入小计</t>
  </si>
  <si>
    <t>三、上划中央收入</t>
  </si>
  <si>
    <r>
      <rPr>
        <sz val="11"/>
        <rFont val="宋体"/>
        <family val="3"/>
        <charset val="134"/>
      </rPr>
      <t>上划中央增值税50</t>
    </r>
    <r>
      <rPr>
        <sz val="11"/>
        <rFont val="Times New Roman"/>
        <family val="1"/>
      </rPr>
      <t>%</t>
    </r>
  </si>
  <si>
    <r>
      <rPr>
        <sz val="11"/>
        <rFont val="宋体"/>
        <family val="3"/>
        <charset val="134"/>
      </rPr>
      <t>上划中央营业税50</t>
    </r>
    <r>
      <rPr>
        <sz val="11"/>
        <rFont val="Times New Roman"/>
        <family val="1"/>
      </rPr>
      <t>%</t>
    </r>
  </si>
  <si>
    <r>
      <rPr>
        <sz val="11"/>
        <rFont val="宋体"/>
        <family val="3"/>
        <charset val="134"/>
      </rPr>
      <t>上划中央消费税</t>
    </r>
    <r>
      <rPr>
        <sz val="11"/>
        <rFont val="Times New Roman"/>
        <family val="1"/>
      </rPr>
      <t>100%</t>
    </r>
  </si>
  <si>
    <r>
      <rPr>
        <sz val="11"/>
        <rFont val="宋体"/>
        <family val="3"/>
        <charset val="134"/>
      </rPr>
      <t>上划中央所得税</t>
    </r>
    <r>
      <rPr>
        <sz val="11"/>
        <rFont val="Times New Roman"/>
        <family val="1"/>
      </rPr>
      <t>60%</t>
    </r>
  </si>
  <si>
    <t>四、上划省级收入</t>
  </si>
  <si>
    <r>
      <rPr>
        <sz val="11"/>
        <rFont val="宋体"/>
        <family val="3"/>
        <charset val="134"/>
      </rPr>
      <t>上划省增值税</t>
    </r>
    <r>
      <rPr>
        <sz val="11"/>
        <rFont val="Times New Roman"/>
        <family val="1"/>
      </rPr>
      <t>12.5%</t>
    </r>
  </si>
  <si>
    <r>
      <rPr>
        <sz val="11"/>
        <rFont val="宋体"/>
        <family val="3"/>
        <charset val="134"/>
      </rPr>
      <t>上划省营业税12.5</t>
    </r>
    <r>
      <rPr>
        <sz val="11"/>
        <rFont val="Times New Roman"/>
        <family val="1"/>
      </rPr>
      <t>%</t>
    </r>
  </si>
  <si>
    <r>
      <rPr>
        <sz val="11"/>
        <rFont val="宋体"/>
        <family val="3"/>
        <charset val="134"/>
      </rPr>
      <t>上划省所得税</t>
    </r>
    <r>
      <rPr>
        <sz val="11"/>
        <rFont val="Times New Roman"/>
        <family val="1"/>
      </rPr>
      <t>12%</t>
    </r>
  </si>
  <si>
    <r>
      <rPr>
        <sz val="11"/>
        <rFont val="宋体"/>
        <family val="3"/>
        <charset val="134"/>
      </rPr>
      <t>上划省资源税</t>
    </r>
    <r>
      <rPr>
        <sz val="11"/>
        <rFont val="Times New Roman"/>
        <family val="1"/>
      </rPr>
      <t>25%</t>
    </r>
  </si>
  <si>
    <r>
      <rPr>
        <sz val="11"/>
        <rFont val="宋体"/>
        <family val="3"/>
        <charset val="134"/>
      </rPr>
      <t>上划省城镇土地使用税税</t>
    </r>
    <r>
      <rPr>
        <sz val="11"/>
        <rFont val="Times New Roman"/>
        <family val="1"/>
      </rPr>
      <t>30%</t>
    </r>
  </si>
  <si>
    <t>上划省级环境保护税30%</t>
  </si>
  <si>
    <t>收入总计</t>
  </si>
  <si>
    <t>说明：1、根据中央和省统一部署，2018年起我省开征环境保护税，取消排污费，并明确环境保护税为地方税种；</t>
  </si>
  <si>
    <t xml:space="preserve">     2、因法院、检察院系统的非税收入从2018年起上收省里，如剔除法院、检察院系统2017年非税收入8538万元，同口径比较，一般公共预算收入比上年增长8.53%，达到了市六届人大二次会议审议通过的8.5%的预期增长目标。</t>
  </si>
  <si>
    <r>
      <rPr>
        <sz val="11"/>
        <rFont val="宋体"/>
        <family val="3"/>
        <charset val="134"/>
      </rPr>
      <t>支出功能科目分类</t>
    </r>
  </si>
  <si>
    <r>
      <rPr>
        <sz val="11"/>
        <rFont val="Times New Roman"/>
        <family val="1"/>
      </rPr>
      <t>2018</t>
    </r>
    <r>
      <rPr>
        <sz val="10"/>
        <rFont val="宋体"/>
        <family val="3"/>
        <charset val="134"/>
      </rPr>
      <t>年快报数</t>
    </r>
  </si>
  <si>
    <r>
      <rPr>
        <sz val="11"/>
        <rFont val="Times New Roman"/>
        <family val="1"/>
      </rPr>
      <t>2017</t>
    </r>
    <r>
      <rPr>
        <sz val="11"/>
        <rFont val="宋体"/>
        <family val="3"/>
        <charset val="134"/>
      </rPr>
      <t>年决算数</t>
    </r>
  </si>
  <si>
    <r>
      <rPr>
        <sz val="11"/>
        <rFont val="宋体"/>
        <family val="3"/>
        <charset val="134"/>
      </rPr>
      <t>比上年
增长</t>
    </r>
    <r>
      <rPr>
        <sz val="11"/>
        <rFont val="Times New Roman"/>
        <family val="1"/>
      </rPr>
      <t>%</t>
    </r>
  </si>
  <si>
    <r>
      <rPr>
        <sz val="11"/>
        <rFont val="宋体"/>
        <family val="3"/>
        <charset val="134"/>
      </rPr>
      <t>一般公共服务支出</t>
    </r>
  </si>
  <si>
    <r>
      <rPr>
        <sz val="11"/>
        <rFont val="宋体"/>
        <family val="3"/>
        <charset val="134"/>
      </rPr>
      <t>外交支出</t>
    </r>
  </si>
  <si>
    <r>
      <rPr>
        <sz val="11"/>
        <rFont val="宋体"/>
        <family val="3"/>
        <charset val="134"/>
      </rPr>
      <t>国防支出</t>
    </r>
  </si>
  <si>
    <r>
      <rPr>
        <sz val="11"/>
        <rFont val="宋体"/>
        <family val="3"/>
        <charset val="134"/>
      </rPr>
      <t>公共安全支出</t>
    </r>
  </si>
  <si>
    <r>
      <rPr>
        <sz val="11"/>
        <rFont val="宋体"/>
        <family val="3"/>
        <charset val="134"/>
      </rPr>
      <t>教育支出</t>
    </r>
  </si>
  <si>
    <r>
      <rPr>
        <sz val="11"/>
        <rFont val="宋体"/>
        <family val="3"/>
        <charset val="134"/>
      </rPr>
      <t>科学技术支出</t>
    </r>
  </si>
  <si>
    <r>
      <rPr>
        <sz val="11"/>
        <rFont val="宋体"/>
        <family val="3"/>
        <charset val="134"/>
      </rPr>
      <t>文化体育与传媒支出</t>
    </r>
  </si>
  <si>
    <r>
      <rPr>
        <sz val="11"/>
        <rFont val="宋体"/>
        <family val="3"/>
        <charset val="134"/>
      </rPr>
      <t>社会保障和就业支出</t>
    </r>
  </si>
  <si>
    <r>
      <rPr>
        <sz val="11"/>
        <rFont val="宋体"/>
        <family val="3"/>
        <charset val="134"/>
      </rPr>
      <t>医疗卫生与计划生育支出</t>
    </r>
  </si>
  <si>
    <r>
      <rPr>
        <sz val="11"/>
        <rFont val="宋体"/>
        <family val="3"/>
        <charset val="134"/>
      </rPr>
      <t>节能环保支出</t>
    </r>
  </si>
  <si>
    <r>
      <rPr>
        <sz val="11"/>
        <rFont val="宋体"/>
        <family val="3"/>
        <charset val="134"/>
      </rPr>
      <t>城乡社区支出</t>
    </r>
  </si>
  <si>
    <r>
      <rPr>
        <sz val="11"/>
        <rFont val="宋体"/>
        <family val="3"/>
        <charset val="134"/>
      </rPr>
      <t>农林水支出</t>
    </r>
  </si>
  <si>
    <r>
      <rPr>
        <sz val="11"/>
        <rFont val="宋体"/>
        <family val="3"/>
        <charset val="134"/>
      </rPr>
      <t>交通运输支出</t>
    </r>
  </si>
  <si>
    <r>
      <rPr>
        <sz val="11"/>
        <rFont val="宋体"/>
        <family val="3"/>
        <charset val="134"/>
      </rPr>
      <t>资源勘探信息等支出</t>
    </r>
  </si>
  <si>
    <r>
      <rPr>
        <sz val="11"/>
        <rFont val="宋体"/>
        <family val="3"/>
        <charset val="134"/>
      </rPr>
      <t>商业服务业等支出</t>
    </r>
  </si>
  <si>
    <r>
      <rPr>
        <sz val="11"/>
        <rFont val="宋体"/>
        <family val="3"/>
        <charset val="134"/>
      </rPr>
      <t>金融支出</t>
    </r>
  </si>
  <si>
    <r>
      <rPr>
        <sz val="11"/>
        <rFont val="宋体"/>
        <family val="3"/>
        <charset val="134"/>
      </rPr>
      <t>援助其他地区支出</t>
    </r>
  </si>
  <si>
    <r>
      <rPr>
        <sz val="11"/>
        <rFont val="宋体"/>
        <family val="3"/>
        <charset val="134"/>
      </rPr>
      <t>国土海洋气象等支出</t>
    </r>
  </si>
  <si>
    <r>
      <rPr>
        <sz val="11"/>
        <rFont val="宋体"/>
        <family val="3"/>
        <charset val="134"/>
      </rPr>
      <t>住房保障支出</t>
    </r>
  </si>
  <si>
    <r>
      <rPr>
        <sz val="11"/>
        <rFont val="宋体"/>
        <family val="3"/>
        <charset val="134"/>
      </rPr>
      <t>粮油物资储备支出</t>
    </r>
  </si>
  <si>
    <t>地方一般债务付息支出</t>
  </si>
  <si>
    <r>
      <rPr>
        <sz val="11"/>
        <rFont val="宋体"/>
        <family val="3"/>
        <charset val="134"/>
      </rPr>
      <t>其他支出</t>
    </r>
  </si>
  <si>
    <r>
      <rPr>
        <b/>
        <sz val="11"/>
        <rFont val="宋体"/>
        <family val="3"/>
        <charset val="134"/>
      </rPr>
      <t>合</t>
    </r>
    <r>
      <rPr>
        <b/>
        <sz val="11"/>
        <rFont val="Times New Roman"/>
        <family val="1"/>
      </rPr>
      <t xml:space="preserve">         </t>
    </r>
    <r>
      <rPr>
        <b/>
        <sz val="11"/>
        <rFont val="宋体"/>
        <family val="3"/>
        <charset val="134"/>
      </rPr>
      <t>计</t>
    </r>
  </si>
  <si>
    <r>
      <rPr>
        <sz val="11"/>
        <rFont val="宋体"/>
        <family val="3"/>
        <charset val="134"/>
      </rPr>
      <t>单位</t>
    </r>
    <r>
      <rPr>
        <sz val="11"/>
        <rFont val="Times New Roman"/>
        <family val="1"/>
      </rPr>
      <t>:</t>
    </r>
    <r>
      <rPr>
        <sz val="11"/>
        <rFont val="宋体"/>
        <family val="3"/>
        <charset val="134"/>
      </rPr>
      <t>万元</t>
    </r>
  </si>
  <si>
    <t>2018年预算数</t>
  </si>
  <si>
    <t>国库数</t>
  </si>
  <si>
    <r>
      <rPr>
        <sz val="11"/>
        <rFont val="宋体"/>
        <family val="3"/>
        <charset val="134"/>
      </rPr>
      <t xml:space="preserve">  环境保护税</t>
    </r>
    <r>
      <rPr>
        <sz val="11"/>
        <rFont val="Times New Roman"/>
        <family val="1"/>
      </rPr>
      <t>70%</t>
    </r>
  </si>
  <si>
    <t>说明：因法院、检察院系统的非税收入从2018年起上收省里，如剔除市本级法院、检察院系统2017年非税收入4387万元，同口径比较，一般公共预算收入完成预算的97.71%，比上年增长4.82%。</t>
  </si>
  <si>
    <r>
      <rPr>
        <sz val="12"/>
        <rFont val="宋体"/>
        <family val="3"/>
        <charset val="134"/>
      </rPr>
      <t>单位：万元</t>
    </r>
  </si>
  <si>
    <r>
      <rPr>
        <sz val="10"/>
        <rFont val="Times New Roman"/>
        <family val="1"/>
      </rPr>
      <t>2018</t>
    </r>
    <r>
      <rPr>
        <sz val="10"/>
        <rFont val="宋体"/>
        <family val="3"/>
        <charset val="134"/>
      </rPr>
      <t>年快报数</t>
    </r>
  </si>
  <si>
    <r>
      <rPr>
        <sz val="11"/>
        <rFont val="宋体"/>
        <family val="3"/>
        <charset val="134"/>
      </rPr>
      <t>比上年增长</t>
    </r>
    <r>
      <rPr>
        <sz val="11"/>
        <rFont val="Times New Roman"/>
        <family val="1"/>
      </rPr>
      <t>%</t>
    </r>
  </si>
  <si>
    <t>指标数</t>
  </si>
  <si>
    <t>说明：市本级支出下降的主要原因：一是加大财政存量资金盘活力度，上年结转支出大幅减少。2018年上年结转支出18895万元，比2017年的45976万元减少27081万元。二是根据财政部关于将地方政府债券全部纳入预算管理、列入相应支出科目的要求，2017年将原列入转移性支出的一般债券3.47亿元转列城乡社区等支出，提高了2017年支出基数。三是2018年调资支出大幅减少。2017年补发了2014年9月至2017年12月退休人员调资和2016年7月至2017年12月在职、离休人员调资，2018年只有退休人员基本养老金提标和预发了在职、离休人员半年调资。</t>
  </si>
  <si>
    <r>
      <rPr>
        <sz val="11"/>
        <rFont val="宋体"/>
        <family val="3"/>
        <charset val="134"/>
      </rPr>
      <t>收</t>
    </r>
    <r>
      <rPr>
        <sz val="11"/>
        <rFont val="Times New Roman"/>
        <family val="1"/>
      </rPr>
      <t xml:space="preserve">  </t>
    </r>
    <r>
      <rPr>
        <sz val="11"/>
        <rFont val="宋体"/>
        <family val="3"/>
        <charset val="134"/>
      </rPr>
      <t>入</t>
    </r>
    <r>
      <rPr>
        <sz val="11"/>
        <rFont val="Times New Roman"/>
        <family val="1"/>
      </rPr>
      <t xml:space="preserve">  </t>
    </r>
    <r>
      <rPr>
        <sz val="11"/>
        <rFont val="宋体"/>
        <family val="3"/>
        <charset val="134"/>
      </rPr>
      <t>项</t>
    </r>
    <r>
      <rPr>
        <sz val="11"/>
        <rFont val="Times New Roman"/>
        <family val="1"/>
      </rPr>
      <t xml:space="preserve">  </t>
    </r>
    <r>
      <rPr>
        <sz val="11"/>
        <rFont val="宋体"/>
        <family val="3"/>
        <charset val="134"/>
      </rPr>
      <t>目</t>
    </r>
  </si>
  <si>
    <r>
      <rPr>
        <sz val="10"/>
        <rFont val="Times New Roman"/>
        <family val="1"/>
      </rPr>
      <t>2018</t>
    </r>
    <r>
      <rPr>
        <sz val="10"/>
        <rFont val="宋体"/>
        <family val="3"/>
        <charset val="134"/>
      </rPr>
      <t>年
完成数</t>
    </r>
  </si>
  <si>
    <r>
      <rPr>
        <sz val="11"/>
        <rFont val="宋体"/>
        <family val="3"/>
        <charset val="134"/>
      </rPr>
      <t>完成预算</t>
    </r>
    <r>
      <rPr>
        <sz val="11"/>
        <rFont val="Times New Roman"/>
        <family val="1"/>
      </rPr>
      <t>%</t>
    </r>
  </si>
  <si>
    <r>
      <rPr>
        <sz val="11"/>
        <rFont val="宋体"/>
        <family val="3"/>
        <charset val="134"/>
      </rPr>
      <t>比上年增长％</t>
    </r>
  </si>
  <si>
    <t>区县</t>
  </si>
  <si>
    <t>本级</t>
  </si>
  <si>
    <t>散装水泥专项资金收入</t>
  </si>
  <si>
    <t>新型墙体材料专项基金收入</t>
  </si>
  <si>
    <t>城市公用事业附加收入</t>
  </si>
  <si>
    <t>国有土地收益基金收入</t>
  </si>
  <si>
    <t>农业土地开发资金收入</t>
  </si>
  <si>
    <t>国有土地使用权出让收入</t>
  </si>
  <si>
    <t>大中型水库库区基金收入</t>
  </si>
  <si>
    <t>彩票公益金收入</t>
  </si>
  <si>
    <t>城市基础设施配套费收入</t>
  </si>
  <si>
    <t>小型水库移民扶助基金收入</t>
  </si>
  <si>
    <t>国家重大水利工程建设基金收入</t>
  </si>
  <si>
    <t>车辆通行费</t>
  </si>
  <si>
    <t>污水处理费收入</t>
  </si>
  <si>
    <t>其他政府性基金收入</t>
  </si>
  <si>
    <t>合 计</t>
  </si>
  <si>
    <r>
      <rPr>
        <sz val="10"/>
        <rFont val="宋体"/>
        <family val="3"/>
        <charset val="134"/>
      </rPr>
      <t>说明：</t>
    </r>
    <r>
      <rPr>
        <sz val="10"/>
        <rFont val="Times New Roman"/>
        <family val="1"/>
      </rPr>
      <t>1</t>
    </r>
    <r>
      <rPr>
        <sz val="10"/>
        <rFont val="宋体"/>
        <family val="3"/>
        <charset val="134"/>
      </rPr>
      <t>、根据《财政部关于取消、停征和整合部分政府性基金项目等有关问题的通知》（财税</t>
    </r>
    <r>
      <rPr>
        <sz val="10"/>
        <rFont val="Times New Roman"/>
        <family val="1"/>
      </rPr>
      <t>[2016]11</t>
    </r>
    <r>
      <rPr>
        <sz val="10"/>
        <rFont val="宋体"/>
        <family val="3"/>
        <charset val="134"/>
      </rPr>
      <t>号）文件精神，从2016年</t>
    </r>
    <r>
      <rPr>
        <sz val="10"/>
        <rFont val="Times New Roman"/>
        <family val="1"/>
      </rPr>
      <t>2</t>
    </r>
    <r>
      <rPr>
        <sz val="10"/>
        <rFont val="宋体"/>
        <family val="3"/>
        <charset val="134"/>
      </rPr>
      <t>月</t>
    </r>
    <r>
      <rPr>
        <sz val="10"/>
        <rFont val="Times New Roman"/>
        <family val="1"/>
      </rPr>
      <t>1</t>
    </r>
    <r>
      <rPr>
        <sz val="10"/>
        <rFont val="宋体"/>
        <family val="3"/>
        <charset val="134"/>
      </rPr>
      <t>日起，停征价格调节基金和散装水泥专项资金。
    2、根据《财政部关于取消、调整部分政府性基金有关政策的通知》（财税[2017]18号）文件精神，从2017年4月1日起，取消城市公用事业附加和新型墙体材料专项基金。</t>
    </r>
  </si>
  <si>
    <t xml:space="preserve">    3、根据中发〔2018〕27号文件规定，暂停土地出让收入各项政策性计提，统筹用于偿还保障性安居工程，教育、水利等领域债务。</t>
  </si>
  <si>
    <r>
      <rPr>
        <sz val="12"/>
        <rFont val="Times New Roman"/>
        <family val="1"/>
      </rPr>
      <t xml:space="preserve">     </t>
    </r>
    <r>
      <rPr>
        <sz val="12"/>
        <rFont val="宋体"/>
        <family val="3"/>
        <charset val="134"/>
      </rPr>
      <t>单位：万元</t>
    </r>
  </si>
  <si>
    <r>
      <rPr>
        <sz val="11"/>
        <rFont val="Times New Roman"/>
        <family val="1"/>
      </rPr>
      <t>2018</t>
    </r>
    <r>
      <rPr>
        <sz val="11"/>
        <rFont val="宋体"/>
        <family val="3"/>
        <charset val="134"/>
      </rPr>
      <t>年</t>
    </r>
    <r>
      <rPr>
        <sz val="11"/>
        <rFont val="Times New Roman"/>
        <family val="1"/>
      </rPr>
      <t xml:space="preserve">     </t>
    </r>
    <r>
      <rPr>
        <sz val="11"/>
        <rFont val="宋体"/>
        <family val="3"/>
        <charset val="134"/>
      </rPr>
      <t>预算数</t>
    </r>
  </si>
  <si>
    <r>
      <rPr>
        <sz val="11"/>
        <rFont val="Times New Roman"/>
        <family val="1"/>
      </rPr>
      <t>2018</t>
    </r>
    <r>
      <rPr>
        <sz val="11"/>
        <rFont val="宋体"/>
        <family val="3"/>
        <charset val="134"/>
      </rPr>
      <t>年
快报数</t>
    </r>
  </si>
  <si>
    <t>文化体育与传媒支出</t>
  </si>
  <si>
    <t>社会保障和就业支出</t>
  </si>
  <si>
    <t>节能环保支出</t>
  </si>
  <si>
    <t>城乡社区支出</t>
  </si>
  <si>
    <t>农林水支出</t>
  </si>
  <si>
    <t>交通运输支出</t>
  </si>
  <si>
    <t>资源勘探信息等支出</t>
  </si>
  <si>
    <t>商业服务业等支出</t>
  </si>
  <si>
    <t>债务付息支出</t>
  </si>
  <si>
    <t>其他支出</t>
  </si>
  <si>
    <t>支出合计</t>
  </si>
  <si>
    <t>2018年调整预算数</t>
  </si>
  <si>
    <t>金库数</t>
  </si>
  <si>
    <r>
      <rPr>
        <sz val="10.5"/>
        <rFont val="宋体"/>
        <family val="3"/>
        <charset val="134"/>
      </rPr>
      <t>单位：万元</t>
    </r>
  </si>
  <si>
    <t>单位：万元</t>
  </si>
  <si>
    <r>
      <rPr>
        <b/>
        <sz val="11"/>
        <color indexed="8"/>
        <rFont val="宋体"/>
        <family val="3"/>
        <charset val="134"/>
      </rPr>
      <t>收</t>
    </r>
    <r>
      <rPr>
        <b/>
        <sz val="11"/>
        <color indexed="8"/>
        <rFont val="Times New Roman"/>
        <family val="1"/>
      </rPr>
      <t xml:space="preserve">          </t>
    </r>
    <r>
      <rPr>
        <b/>
        <sz val="11"/>
        <color indexed="8"/>
        <rFont val="宋体"/>
        <family val="3"/>
        <charset val="134"/>
      </rPr>
      <t>入</t>
    </r>
  </si>
  <si>
    <r>
      <rPr>
        <b/>
        <sz val="11"/>
        <color indexed="8"/>
        <rFont val="宋体"/>
        <family val="3"/>
        <charset val="134"/>
      </rPr>
      <t>支</t>
    </r>
    <r>
      <rPr>
        <b/>
        <sz val="11"/>
        <color indexed="8"/>
        <rFont val="Times New Roman"/>
        <family val="1"/>
      </rPr>
      <t xml:space="preserve">          </t>
    </r>
    <r>
      <rPr>
        <b/>
        <sz val="11"/>
        <color indexed="8"/>
        <rFont val="宋体"/>
        <family val="3"/>
        <charset val="134"/>
      </rPr>
      <t>出</t>
    </r>
  </si>
  <si>
    <r>
      <rPr>
        <sz val="11"/>
        <color indexed="8"/>
        <rFont val="宋体"/>
        <family val="3"/>
        <charset val="134"/>
      </rPr>
      <t>项</t>
    </r>
    <r>
      <rPr>
        <sz val="11"/>
        <color indexed="8"/>
        <rFont val="Times New Roman"/>
        <family val="1"/>
      </rPr>
      <t xml:space="preserve">        </t>
    </r>
    <r>
      <rPr>
        <sz val="11"/>
        <color indexed="8"/>
        <rFont val="宋体"/>
        <family val="3"/>
        <charset val="134"/>
      </rPr>
      <t>目</t>
    </r>
  </si>
  <si>
    <r>
      <rPr>
        <sz val="11"/>
        <color indexed="8"/>
        <rFont val="Times New Roman"/>
        <family val="1"/>
      </rPr>
      <t xml:space="preserve">2018 </t>
    </r>
    <r>
      <rPr>
        <sz val="11"/>
        <color indexed="8"/>
        <rFont val="宋体"/>
        <family val="3"/>
        <charset val="134"/>
      </rPr>
      <t>年完成数</t>
    </r>
  </si>
  <si>
    <r>
      <rPr>
        <sz val="11"/>
        <color indexed="8"/>
        <rFont val="Times New Roman"/>
        <family val="1"/>
      </rPr>
      <t>2018</t>
    </r>
    <r>
      <rPr>
        <sz val="11"/>
        <color indexed="8"/>
        <rFont val="宋体"/>
        <family val="3"/>
        <charset val="134"/>
      </rPr>
      <t>年完成数</t>
    </r>
  </si>
  <si>
    <t>一、利润收入</t>
  </si>
  <si>
    <r>
      <rPr>
        <sz val="11"/>
        <color indexed="8"/>
        <rFont val="宋体"/>
        <family val="3"/>
        <charset val="134"/>
      </rPr>
      <t>一、教育支出</t>
    </r>
  </si>
  <si>
    <r>
      <rPr>
        <sz val="11"/>
        <color indexed="8"/>
        <rFont val="Times New Roman"/>
        <family val="1"/>
      </rPr>
      <t xml:space="preserve">    </t>
    </r>
    <r>
      <rPr>
        <sz val="11"/>
        <color indexed="8"/>
        <rFont val="宋体"/>
        <family val="3"/>
        <charset val="134"/>
      </rPr>
      <t>投资服务企业利润收入</t>
    </r>
  </si>
  <si>
    <r>
      <rPr>
        <sz val="11"/>
        <color indexed="8"/>
        <rFont val="宋体"/>
        <family val="3"/>
        <charset val="134"/>
      </rPr>
      <t>二、科学技术支出</t>
    </r>
  </si>
  <si>
    <r>
      <rPr>
        <sz val="11"/>
        <color indexed="8"/>
        <rFont val="Times New Roman"/>
        <family val="1"/>
      </rPr>
      <t xml:space="preserve">    </t>
    </r>
    <r>
      <rPr>
        <sz val="11"/>
        <color indexed="8"/>
        <rFont val="宋体"/>
        <family val="3"/>
        <charset val="134"/>
      </rPr>
      <t>石油石化企业利润收入</t>
    </r>
  </si>
  <si>
    <r>
      <rPr>
        <sz val="11"/>
        <color indexed="8"/>
        <rFont val="宋体"/>
        <family val="3"/>
        <charset val="134"/>
      </rPr>
      <t>三、文化体育与传媒支出</t>
    </r>
  </si>
  <si>
    <r>
      <rPr>
        <sz val="11"/>
        <color indexed="8"/>
        <rFont val="Times New Roman"/>
        <family val="1"/>
      </rPr>
      <t xml:space="preserve">    </t>
    </r>
    <r>
      <rPr>
        <sz val="11"/>
        <color indexed="8"/>
        <rFont val="宋体"/>
        <family val="3"/>
        <charset val="134"/>
      </rPr>
      <t>其他国有资本经营预算企业利润收入</t>
    </r>
  </si>
  <si>
    <r>
      <rPr>
        <sz val="11"/>
        <color indexed="8"/>
        <rFont val="宋体"/>
        <family val="3"/>
        <charset val="134"/>
      </rPr>
      <t>四、社会保障和就业支出</t>
    </r>
  </si>
  <si>
    <r>
      <rPr>
        <sz val="11"/>
        <color indexed="8"/>
        <rFont val="宋体"/>
        <family val="3"/>
        <charset val="134"/>
      </rPr>
      <t>二、股利、股息收入</t>
    </r>
  </si>
  <si>
    <r>
      <rPr>
        <sz val="11"/>
        <color indexed="8"/>
        <rFont val="宋体"/>
        <family val="3"/>
        <charset val="134"/>
      </rPr>
      <t>五、节能环保支出</t>
    </r>
  </si>
  <si>
    <r>
      <rPr>
        <sz val="11"/>
        <color indexed="8"/>
        <rFont val="Times New Roman"/>
        <family val="1"/>
      </rPr>
      <t xml:space="preserve">          </t>
    </r>
    <r>
      <rPr>
        <sz val="11"/>
        <color indexed="8"/>
        <rFont val="宋体"/>
        <family val="3"/>
        <charset val="134"/>
      </rPr>
      <t>国有控股公司股利、股息收入</t>
    </r>
  </si>
  <si>
    <r>
      <rPr>
        <sz val="11"/>
        <color indexed="8"/>
        <rFont val="宋体"/>
        <family val="3"/>
        <charset val="134"/>
      </rPr>
      <t>六、城乡社区事务支出</t>
    </r>
  </si>
  <si>
    <r>
      <rPr>
        <sz val="11"/>
        <color indexed="8"/>
        <rFont val="Times New Roman"/>
        <family val="1"/>
      </rPr>
      <t xml:space="preserve">          </t>
    </r>
    <r>
      <rPr>
        <sz val="11"/>
        <color indexed="8"/>
        <rFont val="宋体"/>
        <family val="3"/>
        <charset val="134"/>
      </rPr>
      <t>国有参股公司股利、股息收入</t>
    </r>
  </si>
  <si>
    <r>
      <rPr>
        <sz val="11"/>
        <color indexed="8"/>
        <rFont val="宋体"/>
        <family val="3"/>
        <charset val="134"/>
      </rPr>
      <t>七、农林水支出</t>
    </r>
  </si>
  <si>
    <r>
      <rPr>
        <sz val="11"/>
        <color indexed="8"/>
        <rFont val="Times New Roman"/>
        <family val="1"/>
      </rPr>
      <t xml:space="preserve">          </t>
    </r>
    <r>
      <rPr>
        <sz val="11"/>
        <color indexed="8"/>
        <rFont val="宋体"/>
        <family val="3"/>
        <charset val="134"/>
      </rPr>
      <t>其他国有资本经营预算企业股利、股息收入</t>
    </r>
  </si>
  <si>
    <r>
      <rPr>
        <sz val="11"/>
        <color indexed="8"/>
        <rFont val="宋体"/>
        <family val="3"/>
        <charset val="134"/>
      </rPr>
      <t>八、交通运输支出</t>
    </r>
  </si>
  <si>
    <r>
      <rPr>
        <sz val="11"/>
        <color indexed="8"/>
        <rFont val="宋体"/>
        <family val="3"/>
        <charset val="134"/>
      </rPr>
      <t>三、产权转让收入</t>
    </r>
  </si>
  <si>
    <r>
      <rPr>
        <sz val="11"/>
        <color indexed="8"/>
        <rFont val="宋体"/>
        <family val="3"/>
        <charset val="134"/>
      </rPr>
      <t>九、资源勘探电力信息等支出</t>
    </r>
  </si>
  <si>
    <t xml:space="preserve">       ……</t>
  </si>
  <si>
    <r>
      <rPr>
        <sz val="11"/>
        <color indexed="8"/>
        <rFont val="宋体"/>
        <family val="3"/>
        <charset val="134"/>
      </rPr>
      <t>十、商业服务业等支出</t>
    </r>
  </si>
  <si>
    <r>
      <rPr>
        <sz val="11"/>
        <color indexed="8"/>
        <rFont val="宋体"/>
        <family val="3"/>
        <charset val="134"/>
      </rPr>
      <t>四、清算收入</t>
    </r>
  </si>
  <si>
    <r>
      <rPr>
        <sz val="11"/>
        <color indexed="8"/>
        <rFont val="宋体"/>
        <family val="3"/>
        <charset val="134"/>
      </rPr>
      <t>十一、其他支出</t>
    </r>
  </si>
  <si>
    <r>
      <rPr>
        <sz val="11"/>
        <color indexed="8"/>
        <rFont val="宋体"/>
        <family val="3"/>
        <charset val="134"/>
      </rPr>
      <t>十二、转移性支出</t>
    </r>
  </si>
  <si>
    <r>
      <rPr>
        <sz val="11"/>
        <color indexed="8"/>
        <rFont val="宋体"/>
        <family val="3"/>
        <charset val="134"/>
      </rPr>
      <t>五、其他国有资本经营收入</t>
    </r>
  </si>
  <si>
    <r>
      <rPr>
        <sz val="11"/>
        <color indexed="8"/>
        <rFont val="Times New Roman"/>
        <family val="1"/>
      </rPr>
      <t xml:space="preserve">    1</t>
    </r>
    <r>
      <rPr>
        <sz val="11"/>
        <color indexed="8"/>
        <rFont val="宋体"/>
        <family val="3"/>
        <charset val="134"/>
      </rPr>
      <t>、国有资本经营预算调出资金</t>
    </r>
  </si>
  <si>
    <r>
      <rPr>
        <sz val="11"/>
        <color indexed="8"/>
        <rFont val="宋体"/>
        <family val="3"/>
        <charset val="134"/>
      </rPr>
      <t>本年收入合计</t>
    </r>
  </si>
  <si>
    <r>
      <rPr>
        <sz val="11"/>
        <color indexed="8"/>
        <rFont val="宋体"/>
        <family val="3"/>
        <charset val="134"/>
      </rPr>
      <t>本年支出合计</t>
    </r>
  </si>
  <si>
    <r>
      <rPr>
        <sz val="11"/>
        <color indexed="8"/>
        <rFont val="宋体"/>
        <family val="3"/>
        <charset val="134"/>
      </rPr>
      <t>上年结转</t>
    </r>
  </si>
  <si>
    <r>
      <rPr>
        <sz val="11"/>
        <color indexed="8"/>
        <rFont val="宋体"/>
        <family val="3"/>
        <charset val="134"/>
      </rPr>
      <t>结转下年</t>
    </r>
  </si>
  <si>
    <r>
      <rPr>
        <b/>
        <sz val="11"/>
        <color indexed="8"/>
        <rFont val="宋体"/>
        <family val="3"/>
        <charset val="134"/>
      </rPr>
      <t>收</t>
    </r>
    <r>
      <rPr>
        <b/>
        <sz val="11"/>
        <color indexed="8"/>
        <rFont val="Times New Roman"/>
        <family val="1"/>
      </rPr>
      <t xml:space="preserve"> </t>
    </r>
    <r>
      <rPr>
        <b/>
        <sz val="11"/>
        <color indexed="8"/>
        <rFont val="宋体"/>
        <family val="3"/>
        <charset val="134"/>
      </rPr>
      <t>入</t>
    </r>
    <r>
      <rPr>
        <b/>
        <sz val="11"/>
        <color indexed="8"/>
        <rFont val="Times New Roman"/>
        <family val="1"/>
      </rPr>
      <t xml:space="preserve"> </t>
    </r>
    <r>
      <rPr>
        <b/>
        <sz val="11"/>
        <color indexed="8"/>
        <rFont val="宋体"/>
        <family val="3"/>
        <charset val="134"/>
      </rPr>
      <t>总</t>
    </r>
    <r>
      <rPr>
        <b/>
        <sz val="11"/>
        <color indexed="8"/>
        <rFont val="Times New Roman"/>
        <family val="1"/>
      </rPr>
      <t xml:space="preserve"> </t>
    </r>
    <r>
      <rPr>
        <b/>
        <sz val="11"/>
        <color indexed="8"/>
        <rFont val="宋体"/>
        <family val="3"/>
        <charset val="134"/>
      </rPr>
      <t>计</t>
    </r>
  </si>
  <si>
    <r>
      <rPr>
        <b/>
        <sz val="11"/>
        <color indexed="8"/>
        <rFont val="宋体"/>
        <family val="3"/>
        <charset val="134"/>
      </rPr>
      <t>支</t>
    </r>
    <r>
      <rPr>
        <b/>
        <sz val="11"/>
        <color indexed="8"/>
        <rFont val="Times New Roman"/>
        <family val="1"/>
      </rPr>
      <t xml:space="preserve"> </t>
    </r>
    <r>
      <rPr>
        <b/>
        <sz val="11"/>
        <color indexed="8"/>
        <rFont val="宋体"/>
        <family val="3"/>
        <charset val="134"/>
      </rPr>
      <t>出</t>
    </r>
    <r>
      <rPr>
        <b/>
        <sz val="11"/>
        <color indexed="8"/>
        <rFont val="Times New Roman"/>
        <family val="1"/>
      </rPr>
      <t xml:space="preserve"> </t>
    </r>
    <r>
      <rPr>
        <b/>
        <sz val="11"/>
        <color indexed="8"/>
        <rFont val="宋体"/>
        <family val="3"/>
        <charset val="134"/>
      </rPr>
      <t>总</t>
    </r>
    <r>
      <rPr>
        <b/>
        <sz val="11"/>
        <color indexed="8"/>
        <rFont val="Times New Roman"/>
        <family val="1"/>
      </rPr>
      <t xml:space="preserve"> </t>
    </r>
    <r>
      <rPr>
        <b/>
        <sz val="11"/>
        <color indexed="8"/>
        <rFont val="宋体"/>
        <family val="3"/>
        <charset val="134"/>
      </rPr>
      <t>计</t>
    </r>
  </si>
  <si>
    <t>项        目</t>
  </si>
  <si>
    <t>企业职工基本养老保险基金</t>
  </si>
  <si>
    <t>机关事业养老保险基金</t>
  </si>
  <si>
    <t>失业保险基金</t>
  </si>
  <si>
    <t>城镇职工基本医疗保险基金</t>
  </si>
  <si>
    <t>工伤保险基金</t>
  </si>
  <si>
    <t>生育保险基金</t>
  </si>
  <si>
    <t>一、上年结余</t>
  </si>
  <si>
    <t>二、本年收入</t>
  </si>
  <si>
    <t xml:space="preserve">    其中： 1、保险费收入</t>
  </si>
  <si>
    <t xml:space="preserve">           2、利息收入</t>
  </si>
  <si>
    <t xml:space="preserve">           3、财政补贴收入</t>
  </si>
  <si>
    <t xml:space="preserve">           4、其他收入</t>
  </si>
  <si>
    <t xml:space="preserve">           5、转移收入</t>
  </si>
  <si>
    <t xml:space="preserve">           6、上级补助收入</t>
  </si>
  <si>
    <t xml:space="preserve">           7、下级上解收入</t>
  </si>
  <si>
    <t>三、本年支出</t>
  </si>
  <si>
    <t xml:space="preserve">    其中： 1、社会保险待遇支出</t>
  </si>
  <si>
    <t xml:space="preserve">           2、其他支出</t>
  </si>
  <si>
    <t xml:space="preserve">           3、转移支出</t>
  </si>
  <si>
    <t xml:space="preserve">           4、补助下级支出</t>
  </si>
  <si>
    <t xml:space="preserve">           5、上解上级支出</t>
  </si>
  <si>
    <t>四、本年收支结余</t>
  </si>
  <si>
    <t>五、年末滚存结余</t>
  </si>
  <si>
    <r>
      <rPr>
        <sz val="12"/>
        <rFont val="宋体"/>
        <family val="3"/>
        <charset val="134"/>
      </rPr>
      <t>收</t>
    </r>
    <r>
      <rPr>
        <sz val="12"/>
        <rFont val="Times New Roman"/>
        <family val="1"/>
      </rPr>
      <t xml:space="preserve">  </t>
    </r>
    <r>
      <rPr>
        <sz val="12"/>
        <rFont val="宋体"/>
        <family val="3"/>
        <charset val="134"/>
      </rPr>
      <t>入</t>
    </r>
    <r>
      <rPr>
        <sz val="12"/>
        <rFont val="Times New Roman"/>
        <family val="1"/>
      </rPr>
      <t xml:space="preserve">  </t>
    </r>
    <r>
      <rPr>
        <sz val="12"/>
        <rFont val="宋体"/>
        <family val="3"/>
        <charset val="134"/>
      </rPr>
      <t>项</t>
    </r>
    <r>
      <rPr>
        <sz val="12"/>
        <rFont val="Times New Roman"/>
        <family val="1"/>
      </rPr>
      <t xml:space="preserve">  </t>
    </r>
    <r>
      <rPr>
        <sz val="12"/>
        <rFont val="宋体"/>
        <family val="3"/>
        <charset val="134"/>
      </rPr>
      <t>目</t>
    </r>
  </si>
  <si>
    <r>
      <rPr>
        <sz val="10"/>
        <rFont val="Times New Roman"/>
        <family val="1"/>
      </rPr>
      <t>2018</t>
    </r>
    <r>
      <rPr>
        <sz val="10"/>
        <rFont val="宋体"/>
        <family val="3"/>
        <charset val="134"/>
      </rPr>
      <t>年完成数</t>
    </r>
  </si>
  <si>
    <r>
      <rPr>
        <sz val="12"/>
        <rFont val="Times New Roman"/>
        <family val="1"/>
      </rPr>
      <t>2019</t>
    </r>
    <r>
      <rPr>
        <sz val="12"/>
        <rFont val="宋体"/>
        <family val="3"/>
        <charset val="134"/>
      </rPr>
      <t>年预算数</t>
    </r>
  </si>
  <si>
    <t>增长%</t>
  </si>
  <si>
    <t>一般公共预算地方收入</t>
  </si>
  <si>
    <t>四、上划省收入</t>
  </si>
  <si>
    <r>
      <rPr>
        <sz val="11"/>
        <rFont val="宋体"/>
        <family val="3"/>
        <charset val="134"/>
      </rPr>
      <t>上划省营业税</t>
    </r>
    <r>
      <rPr>
        <sz val="11"/>
        <rFont val="Times New Roman"/>
        <family val="1"/>
      </rPr>
      <t>12.5%</t>
    </r>
  </si>
  <si>
    <t>一般公共预算总收入</t>
  </si>
  <si>
    <t xml:space="preserve">说明：根据省财政预算编制口径，一般公共预算地方收入指由地方征收，按照现行财政体制缴入地方金库的一般公共预算收入；一般公共预算地方收入，加上由地方征收，但按照现行财政体制缴入中央金库的上划中央收入和缴入省金库的上划省收入，构成一般公共预算总收入。
</t>
  </si>
  <si>
    <r>
      <rPr>
        <sz val="11"/>
        <rFont val="宋体"/>
        <family val="3"/>
        <charset val="134"/>
      </rPr>
      <t>支出功能科目</t>
    </r>
  </si>
  <si>
    <r>
      <rPr>
        <sz val="11"/>
        <rFont val="Times New Roman"/>
        <family val="1"/>
      </rPr>
      <t>2018</t>
    </r>
    <r>
      <rPr>
        <sz val="11"/>
        <rFont val="宋体"/>
        <family val="3"/>
        <charset val="134"/>
      </rPr>
      <t>年财力完成数</t>
    </r>
  </si>
  <si>
    <r>
      <rPr>
        <sz val="11"/>
        <rFont val="Times New Roman"/>
        <family val="1"/>
      </rPr>
      <t>2019</t>
    </r>
    <r>
      <rPr>
        <sz val="11"/>
        <rFont val="宋体"/>
        <family val="3"/>
        <charset val="134"/>
      </rPr>
      <t>年财力
安排数</t>
    </r>
  </si>
  <si>
    <r>
      <rPr>
        <sz val="11"/>
        <rFont val="宋体"/>
        <family val="3"/>
        <charset val="134"/>
      </rPr>
      <t>增长</t>
    </r>
    <r>
      <rPr>
        <sz val="11"/>
        <rFont val="Times New Roman"/>
        <family val="1"/>
      </rPr>
      <t>%</t>
    </r>
  </si>
  <si>
    <r>
      <rPr>
        <sz val="12"/>
        <rFont val="Times New Roman"/>
        <family val="1"/>
      </rPr>
      <t>2015</t>
    </r>
    <r>
      <rPr>
        <sz val="12"/>
        <rFont val="宋体"/>
        <family val="3"/>
        <charset val="134"/>
      </rPr>
      <t>年完成</t>
    </r>
  </si>
  <si>
    <r>
      <rPr>
        <sz val="12"/>
        <rFont val="宋体"/>
        <family val="3"/>
        <charset val="134"/>
      </rPr>
      <t>调整预算</t>
    </r>
  </si>
  <si>
    <r>
      <rPr>
        <sz val="12"/>
        <rFont val="宋体"/>
        <family val="3"/>
        <charset val="134"/>
      </rPr>
      <t>测算</t>
    </r>
  </si>
  <si>
    <r>
      <rPr>
        <sz val="11"/>
        <rFont val="Times New Roman"/>
        <family val="1"/>
      </rPr>
      <t>2017</t>
    </r>
    <r>
      <rPr>
        <sz val="11"/>
        <rFont val="宋体"/>
        <family val="3"/>
        <charset val="134"/>
      </rPr>
      <t>年预计财
力完成数</t>
    </r>
  </si>
  <si>
    <t>调整</t>
  </si>
  <si>
    <r>
      <rPr>
        <sz val="11"/>
        <rFont val="Times New Roman"/>
        <family val="1"/>
      </rPr>
      <t>2018</t>
    </r>
    <r>
      <rPr>
        <sz val="11"/>
        <rFont val="宋体"/>
        <family val="3"/>
        <charset val="134"/>
      </rPr>
      <t>年财力
安排数</t>
    </r>
  </si>
  <si>
    <r>
      <rPr>
        <sz val="12"/>
        <rFont val="Times New Roman"/>
        <family val="1"/>
      </rPr>
      <t>2017</t>
    </r>
    <r>
      <rPr>
        <sz val="10"/>
        <rFont val="宋体"/>
        <family val="3"/>
        <charset val="134"/>
      </rPr>
      <t>年预计完成数</t>
    </r>
  </si>
  <si>
    <r>
      <rPr>
        <b/>
        <sz val="11"/>
        <rFont val="宋体"/>
        <family val="3"/>
        <charset val="134"/>
      </rPr>
      <t>合</t>
    </r>
    <r>
      <rPr>
        <b/>
        <sz val="11"/>
        <rFont val="Times New Roman"/>
        <family val="1"/>
      </rPr>
      <t xml:space="preserve">              </t>
    </r>
    <r>
      <rPr>
        <b/>
        <sz val="11"/>
        <rFont val="宋体"/>
        <family val="3"/>
        <charset val="134"/>
      </rPr>
      <t>计</t>
    </r>
  </si>
  <si>
    <r>
      <rPr>
        <sz val="12"/>
        <rFont val="宋体"/>
        <family val="3"/>
        <charset val="134"/>
      </rPr>
      <t>债</t>
    </r>
    <r>
      <rPr>
        <sz val="12"/>
        <rFont val="Times New Roman"/>
        <family val="1"/>
      </rPr>
      <t>42300</t>
    </r>
  </si>
  <si>
    <r>
      <rPr>
        <sz val="12"/>
        <rFont val="宋体"/>
        <family val="3"/>
        <charset val="134"/>
      </rPr>
      <t>地方</t>
    </r>
    <r>
      <rPr>
        <sz val="12"/>
        <rFont val="Times New Roman"/>
        <family val="1"/>
      </rPr>
      <t>66490</t>
    </r>
  </si>
  <si>
    <r>
      <rPr>
        <sz val="12"/>
        <rFont val="宋体"/>
        <family val="3"/>
        <charset val="134"/>
      </rPr>
      <t>转移调资</t>
    </r>
    <r>
      <rPr>
        <sz val="12"/>
        <rFont val="Times New Roman"/>
        <family val="1"/>
      </rPr>
      <t>85732</t>
    </r>
  </si>
  <si>
    <r>
      <rPr>
        <sz val="11"/>
        <rFont val="宋体"/>
        <family val="3"/>
        <charset val="134"/>
      </rPr>
      <t>收</t>
    </r>
    <r>
      <rPr>
        <sz val="11"/>
        <rFont val="Times New Roman"/>
        <family val="1"/>
      </rPr>
      <t xml:space="preserve">              </t>
    </r>
    <r>
      <rPr>
        <sz val="11"/>
        <rFont val="宋体"/>
        <family val="3"/>
        <charset val="134"/>
      </rPr>
      <t>入</t>
    </r>
  </si>
  <si>
    <r>
      <rPr>
        <sz val="11"/>
        <rFont val="宋体"/>
        <family val="3"/>
        <charset val="134"/>
      </rPr>
      <t>支</t>
    </r>
    <r>
      <rPr>
        <sz val="11"/>
        <rFont val="Times New Roman"/>
        <family val="1"/>
      </rPr>
      <t xml:space="preserve">               </t>
    </r>
    <r>
      <rPr>
        <sz val="11"/>
        <rFont val="宋体"/>
        <family val="3"/>
        <charset val="134"/>
      </rPr>
      <t>出</t>
    </r>
  </si>
  <si>
    <r>
      <rPr>
        <b/>
        <sz val="11"/>
        <rFont val="宋体"/>
        <family val="3"/>
        <charset val="134"/>
      </rPr>
      <t>项</t>
    </r>
    <r>
      <rPr>
        <b/>
        <sz val="11"/>
        <rFont val="Times New Roman"/>
        <family val="1"/>
      </rPr>
      <t xml:space="preserve">               </t>
    </r>
    <r>
      <rPr>
        <b/>
        <sz val="11"/>
        <rFont val="宋体"/>
        <family val="3"/>
        <charset val="134"/>
      </rPr>
      <t>目</t>
    </r>
  </si>
  <si>
    <r>
      <rPr>
        <b/>
        <sz val="11"/>
        <rFont val="Times New Roman"/>
        <family val="1"/>
      </rPr>
      <t>2019</t>
    </r>
    <r>
      <rPr>
        <b/>
        <sz val="11"/>
        <rFont val="宋体"/>
        <family val="3"/>
        <charset val="134"/>
      </rPr>
      <t>年
预算数</t>
    </r>
  </si>
  <si>
    <t>汇总收</t>
  </si>
  <si>
    <t>本级收</t>
  </si>
  <si>
    <t>汇总支</t>
  </si>
  <si>
    <t>本级支</t>
  </si>
  <si>
    <t>一、一般公共预算地方收入</t>
  </si>
  <si>
    <t>一、一般公共预算地方支出</t>
  </si>
  <si>
    <r>
      <rPr>
        <sz val="11"/>
        <rFont val="宋体"/>
        <family val="3"/>
        <charset val="134"/>
      </rPr>
      <t>二、上级补助收入</t>
    </r>
  </si>
  <si>
    <t>市县财力安排支出</t>
  </si>
  <si>
    <r>
      <rPr>
        <sz val="11"/>
        <rFont val="Times New Roman"/>
        <family val="1"/>
      </rPr>
      <t>1</t>
    </r>
    <r>
      <rPr>
        <sz val="11"/>
        <rFont val="宋体"/>
        <family val="3"/>
        <charset val="134"/>
      </rPr>
      <t>、返还性收入</t>
    </r>
  </si>
  <si>
    <r>
      <rPr>
        <sz val="11"/>
        <rFont val="宋体"/>
        <family val="3"/>
        <charset val="134"/>
      </rPr>
      <t>上级提前下达专项转移支付安排</t>
    </r>
  </si>
  <si>
    <r>
      <rPr>
        <sz val="11"/>
        <rFont val="Times New Roman"/>
        <family val="1"/>
      </rPr>
      <t xml:space="preserve">  </t>
    </r>
    <r>
      <rPr>
        <sz val="11"/>
        <rFont val="宋体"/>
        <family val="3"/>
        <charset val="134"/>
      </rPr>
      <t>消费税和增值税税收返还</t>
    </r>
  </si>
  <si>
    <r>
      <rPr>
        <sz val="11"/>
        <rFont val="宋体"/>
        <family val="3"/>
        <charset val="134"/>
      </rPr>
      <t>二、上解支出</t>
    </r>
  </si>
  <si>
    <r>
      <rPr>
        <sz val="11"/>
        <rFont val="Times New Roman"/>
        <family val="1"/>
      </rPr>
      <t xml:space="preserve">  </t>
    </r>
    <r>
      <rPr>
        <sz val="11"/>
        <rFont val="宋体"/>
        <family val="3"/>
        <charset val="134"/>
      </rPr>
      <t>所得税基数返还</t>
    </r>
  </si>
  <si>
    <r>
      <rPr>
        <sz val="11"/>
        <rFont val="Times New Roman"/>
        <family val="1"/>
      </rPr>
      <t xml:space="preserve">       </t>
    </r>
    <r>
      <rPr>
        <sz val="11"/>
        <rFont val="宋体"/>
        <family val="3"/>
        <charset val="134"/>
      </rPr>
      <t>体制上解</t>
    </r>
  </si>
  <si>
    <r>
      <rPr>
        <sz val="11"/>
        <rFont val="Times New Roman"/>
        <family val="1"/>
      </rPr>
      <t xml:space="preserve">  </t>
    </r>
    <r>
      <rPr>
        <sz val="11"/>
        <rFont val="宋体"/>
        <family val="3"/>
        <charset val="134"/>
      </rPr>
      <t>成品油税费与价格改革返还等</t>
    </r>
  </si>
  <si>
    <r>
      <rPr>
        <sz val="11"/>
        <rFont val="Times New Roman"/>
        <family val="1"/>
      </rPr>
      <t xml:space="preserve">       </t>
    </r>
    <r>
      <rPr>
        <sz val="11"/>
        <rFont val="宋体"/>
        <family val="3"/>
        <charset val="134"/>
      </rPr>
      <t>专项上解</t>
    </r>
  </si>
  <si>
    <r>
      <rPr>
        <sz val="11"/>
        <rFont val="Times New Roman"/>
        <family val="1"/>
      </rPr>
      <t xml:space="preserve">  </t>
    </r>
    <r>
      <rPr>
        <sz val="11"/>
        <rFont val="宋体"/>
        <family val="3"/>
        <charset val="134"/>
      </rPr>
      <t>其他税收返还</t>
    </r>
  </si>
  <si>
    <r>
      <rPr>
        <sz val="11"/>
        <rFont val="Times New Roman"/>
        <family val="1"/>
      </rPr>
      <t>2</t>
    </r>
    <r>
      <rPr>
        <sz val="11"/>
        <rFont val="宋体"/>
        <family val="3"/>
        <charset val="134"/>
      </rPr>
      <t>、一般性转移支付收入</t>
    </r>
  </si>
  <si>
    <r>
      <rPr>
        <sz val="11"/>
        <rFont val="宋体"/>
        <family val="3"/>
        <charset val="134"/>
      </rPr>
      <t>三、补助区县支出</t>
    </r>
  </si>
  <si>
    <r>
      <rPr>
        <sz val="11"/>
        <rFont val="Times New Roman"/>
        <family val="1"/>
      </rPr>
      <t xml:space="preserve">    </t>
    </r>
    <r>
      <rPr>
        <sz val="11"/>
        <rFont val="宋体"/>
        <family val="3"/>
        <charset val="134"/>
      </rPr>
      <t>体制补助收入</t>
    </r>
  </si>
  <si>
    <t>四、债务支出</t>
  </si>
  <si>
    <r>
      <rPr>
        <sz val="11"/>
        <rFont val="Times New Roman"/>
        <family val="1"/>
      </rPr>
      <t xml:space="preserve">    </t>
    </r>
    <r>
      <rPr>
        <sz val="11"/>
        <rFont val="宋体"/>
        <family val="3"/>
        <charset val="134"/>
      </rPr>
      <t>均衡性转移支付补助</t>
    </r>
  </si>
  <si>
    <t>四、补充预算稳定调节基金</t>
  </si>
  <si>
    <r>
      <rPr>
        <sz val="11"/>
        <rFont val="Times New Roman"/>
        <family val="1"/>
      </rPr>
      <t xml:space="preserve">    </t>
    </r>
    <r>
      <rPr>
        <sz val="11"/>
        <rFont val="宋体"/>
        <family val="3"/>
        <charset val="134"/>
      </rPr>
      <t>调整工资等转移支付补助收入</t>
    </r>
  </si>
  <si>
    <t>六、调出资金</t>
  </si>
  <si>
    <r>
      <rPr>
        <sz val="11"/>
        <rFont val="Times New Roman"/>
        <family val="1"/>
      </rPr>
      <t xml:space="preserve">  </t>
    </r>
    <r>
      <rPr>
        <sz val="11"/>
        <rFont val="宋体"/>
        <family val="3"/>
        <charset val="134"/>
      </rPr>
      <t>其他一般性转移支付及结算补助</t>
    </r>
  </si>
  <si>
    <t>七、结转下年支出</t>
  </si>
  <si>
    <r>
      <rPr>
        <sz val="11"/>
        <rFont val="Times New Roman"/>
        <family val="1"/>
      </rPr>
      <t>3</t>
    </r>
    <r>
      <rPr>
        <sz val="11"/>
        <rFont val="宋体"/>
        <family val="3"/>
        <charset val="134"/>
      </rPr>
      <t>、专项转移支付收入</t>
    </r>
  </si>
  <si>
    <t>三、结算上解收入</t>
  </si>
  <si>
    <t>四、债券转贷收入</t>
  </si>
  <si>
    <t>五、上年结转</t>
  </si>
  <si>
    <t>六、调入稳定预算调节基金</t>
  </si>
  <si>
    <t>七、调入资金</t>
  </si>
  <si>
    <t>一般公共预算收入合计</t>
  </si>
  <si>
    <t>一般公共预算支出合计</t>
  </si>
  <si>
    <t xml:space="preserve"> 单位:万元</t>
  </si>
  <si>
    <r>
      <rPr>
        <sz val="11"/>
        <color indexed="8"/>
        <rFont val="宋体"/>
        <family val="3"/>
        <charset val="134"/>
      </rPr>
      <t>收</t>
    </r>
    <r>
      <rPr>
        <sz val="11"/>
        <color indexed="8"/>
        <rFont val="Times New Roman"/>
        <family val="1"/>
      </rPr>
      <t xml:space="preserve">  </t>
    </r>
    <r>
      <rPr>
        <sz val="11"/>
        <color indexed="8"/>
        <rFont val="宋体"/>
        <family val="3"/>
        <charset val="134"/>
      </rPr>
      <t>入</t>
    </r>
    <r>
      <rPr>
        <sz val="11"/>
        <color indexed="8"/>
        <rFont val="Times New Roman"/>
        <family val="1"/>
      </rPr>
      <t xml:space="preserve">  </t>
    </r>
    <r>
      <rPr>
        <sz val="11"/>
        <color indexed="8"/>
        <rFont val="宋体"/>
        <family val="3"/>
        <charset val="134"/>
      </rPr>
      <t>项</t>
    </r>
    <r>
      <rPr>
        <sz val="11"/>
        <color indexed="8"/>
        <rFont val="Times New Roman"/>
        <family val="1"/>
      </rPr>
      <t xml:space="preserve">  </t>
    </r>
    <r>
      <rPr>
        <sz val="11"/>
        <color indexed="8"/>
        <rFont val="宋体"/>
        <family val="3"/>
        <charset val="134"/>
      </rPr>
      <t>目</t>
    </r>
  </si>
  <si>
    <r>
      <rPr>
        <sz val="10"/>
        <color indexed="8"/>
        <rFont val="Times New Roman"/>
        <family val="1"/>
      </rPr>
      <t>201</t>
    </r>
    <r>
      <rPr>
        <sz val="10"/>
        <rFont val="Times New Roman"/>
        <family val="1"/>
      </rPr>
      <t>8</t>
    </r>
    <r>
      <rPr>
        <sz val="10"/>
        <rFont val="宋体"/>
        <family val="3"/>
        <charset val="134"/>
      </rPr>
      <t>年完成数</t>
    </r>
  </si>
  <si>
    <r>
      <rPr>
        <sz val="11"/>
        <color indexed="8"/>
        <rFont val="Times New Roman"/>
        <family val="1"/>
      </rPr>
      <t>201</t>
    </r>
    <r>
      <rPr>
        <sz val="12"/>
        <rFont val="Times New Roman"/>
        <family val="1"/>
      </rPr>
      <t>9</t>
    </r>
    <r>
      <rPr>
        <sz val="12"/>
        <rFont val="宋体"/>
        <family val="3"/>
        <charset val="134"/>
      </rPr>
      <t>年预算数</t>
    </r>
  </si>
  <si>
    <r>
      <rPr>
        <sz val="11"/>
        <color indexed="8"/>
        <rFont val="宋体"/>
        <family val="3"/>
        <charset val="134"/>
      </rPr>
      <t>增长</t>
    </r>
    <r>
      <rPr>
        <sz val="11"/>
        <color indexed="8"/>
        <rFont val="Times New Roman"/>
        <family val="1"/>
      </rPr>
      <t>%</t>
    </r>
  </si>
  <si>
    <t>预算数</t>
  </si>
  <si>
    <r>
      <rPr>
        <sz val="11"/>
        <rFont val="Times New Roman"/>
        <family val="1"/>
      </rPr>
      <t xml:space="preserve"> </t>
    </r>
    <r>
      <rPr>
        <sz val="11"/>
        <rFont val="宋体"/>
        <family val="3"/>
        <charset val="134"/>
      </rPr>
      <t>单位：万元</t>
    </r>
  </si>
  <si>
    <r>
      <rPr>
        <sz val="11"/>
        <rFont val="Times New Roman"/>
        <family val="1"/>
      </rPr>
      <t>2018</t>
    </r>
    <r>
      <rPr>
        <sz val="11"/>
        <rFont val="宋体"/>
        <family val="3"/>
        <charset val="134"/>
      </rPr>
      <t>年财力
完成数</t>
    </r>
  </si>
  <si>
    <r>
      <rPr>
        <sz val="11"/>
        <rFont val="Times New Roman"/>
        <family val="1"/>
      </rPr>
      <t>2019</t>
    </r>
    <r>
      <rPr>
        <sz val="11"/>
        <rFont val="宋体"/>
        <family val="3"/>
        <charset val="134"/>
      </rPr>
      <t>年
预算数</t>
    </r>
  </si>
  <si>
    <t>上级专项</t>
  </si>
  <si>
    <t>本级下达区县指标</t>
  </si>
  <si>
    <r>
      <rPr>
        <sz val="11"/>
        <rFont val="宋体"/>
        <family val="3"/>
        <charset val="134"/>
      </rPr>
      <t>预备费</t>
    </r>
  </si>
  <si>
    <t>地方一般债务还本付息支出</t>
  </si>
  <si>
    <r>
      <rPr>
        <b/>
        <sz val="11"/>
        <rFont val="宋体"/>
        <family val="3"/>
        <charset val="134"/>
      </rPr>
      <t>市本级支出小计</t>
    </r>
  </si>
  <si>
    <t>补助区县支出</t>
  </si>
  <si>
    <t>置换债券还本付息支出</t>
  </si>
  <si>
    <t>结转下年支出</t>
  </si>
  <si>
    <t>2019年
预算数</t>
  </si>
  <si>
    <t>市本级财力安排支出</t>
  </si>
  <si>
    <r>
      <rPr>
        <sz val="11"/>
        <rFont val="Times New Roman"/>
        <family val="1"/>
      </rPr>
      <t xml:space="preserve">       </t>
    </r>
    <r>
      <rPr>
        <sz val="11"/>
        <rFont val="宋体"/>
        <family val="3"/>
        <charset val="134"/>
      </rPr>
      <t>出口退税上解</t>
    </r>
  </si>
  <si>
    <t>四、置换债券还本付息支出</t>
  </si>
  <si>
    <r>
      <rPr>
        <sz val="11"/>
        <rFont val="Times New Roman"/>
        <family val="1"/>
      </rPr>
      <t xml:space="preserve">    </t>
    </r>
    <r>
      <rPr>
        <sz val="11"/>
        <rFont val="宋体"/>
        <family val="3"/>
        <charset val="134"/>
      </rPr>
      <t>调整工资转移支付补助收入</t>
    </r>
  </si>
  <si>
    <r>
      <rPr>
        <sz val="11"/>
        <rFont val="宋体"/>
        <family val="3"/>
        <charset val="134"/>
      </rPr>
      <t>三、区上解收入</t>
    </r>
  </si>
  <si>
    <t>四、调入预算稳定调节基金</t>
  </si>
  <si>
    <t>五、新增债券转贷收入</t>
  </si>
  <si>
    <t>六、从国有资本经费预算调入</t>
  </si>
  <si>
    <t>七、调入资金-置换债券付息</t>
  </si>
  <si>
    <t>八、财力性转移支付增量</t>
  </si>
  <si>
    <t>九、上年结转</t>
  </si>
  <si>
    <r>
      <rPr>
        <b/>
        <sz val="11"/>
        <rFont val="宋体"/>
        <family val="3"/>
        <charset val="134"/>
      </rPr>
      <t>收</t>
    </r>
    <r>
      <rPr>
        <b/>
        <sz val="11"/>
        <rFont val="Times New Roman"/>
        <family val="1"/>
      </rPr>
      <t xml:space="preserve">   </t>
    </r>
    <r>
      <rPr>
        <b/>
        <sz val="11"/>
        <rFont val="宋体"/>
        <family val="3"/>
        <charset val="134"/>
      </rPr>
      <t>入</t>
    </r>
    <r>
      <rPr>
        <b/>
        <sz val="11"/>
        <rFont val="Times New Roman"/>
        <family val="1"/>
      </rPr>
      <t xml:space="preserve">   </t>
    </r>
    <r>
      <rPr>
        <b/>
        <sz val="11"/>
        <rFont val="宋体"/>
        <family val="3"/>
        <charset val="134"/>
      </rPr>
      <t>合</t>
    </r>
    <r>
      <rPr>
        <b/>
        <sz val="11"/>
        <rFont val="Times New Roman"/>
        <family val="1"/>
      </rPr>
      <t xml:space="preserve">   </t>
    </r>
    <r>
      <rPr>
        <b/>
        <sz val="11"/>
        <rFont val="宋体"/>
        <family val="3"/>
        <charset val="134"/>
      </rPr>
      <t>计</t>
    </r>
  </si>
  <si>
    <r>
      <rPr>
        <b/>
        <sz val="11"/>
        <rFont val="宋体"/>
        <family val="3"/>
        <charset val="134"/>
      </rPr>
      <t>支</t>
    </r>
    <r>
      <rPr>
        <b/>
        <sz val="11"/>
        <rFont val="Times New Roman"/>
        <family val="1"/>
      </rPr>
      <t xml:space="preserve">  </t>
    </r>
    <r>
      <rPr>
        <b/>
        <sz val="11"/>
        <rFont val="宋体"/>
        <family val="3"/>
        <charset val="134"/>
      </rPr>
      <t>出</t>
    </r>
    <r>
      <rPr>
        <b/>
        <sz val="11"/>
        <rFont val="Times New Roman"/>
        <family val="1"/>
      </rPr>
      <t xml:space="preserve">  </t>
    </r>
    <r>
      <rPr>
        <b/>
        <sz val="11"/>
        <rFont val="宋体"/>
        <family val="3"/>
        <charset val="134"/>
      </rPr>
      <t>合</t>
    </r>
    <r>
      <rPr>
        <b/>
        <sz val="11"/>
        <rFont val="Times New Roman"/>
        <family val="1"/>
      </rPr>
      <t xml:space="preserve">  </t>
    </r>
    <r>
      <rPr>
        <b/>
        <sz val="11"/>
        <rFont val="宋体"/>
        <family val="3"/>
        <charset val="134"/>
      </rPr>
      <t>计</t>
    </r>
  </si>
  <si>
    <t>支出功能分类科目</t>
  </si>
  <si>
    <t>2019年预算数</t>
  </si>
  <si>
    <t>其中：</t>
  </si>
  <si>
    <t>本级财力安排支出数</t>
  </si>
  <si>
    <t>省提前下达转移支付安排支出数</t>
  </si>
  <si>
    <t xml:space="preserve">  一般公共服务支出</t>
  </si>
  <si>
    <t xml:space="preserve">    人大事务</t>
  </si>
  <si>
    <t xml:space="preserve">      行政运行</t>
  </si>
  <si>
    <t xml:space="preserve">      一般行政管理事务</t>
  </si>
  <si>
    <t xml:space="preserve">      人大会议</t>
  </si>
  <si>
    <t xml:space="preserve">      代表工作</t>
  </si>
  <si>
    <t xml:space="preserve">      其他人大事务支出</t>
  </si>
  <si>
    <t xml:space="preserve">    政协事务</t>
  </si>
  <si>
    <t xml:space="preserve">      政协会议</t>
  </si>
  <si>
    <t xml:space="preserve">      其他政协事务支出</t>
  </si>
  <si>
    <t xml:space="preserve">    政府办公厅(室)及相关机构事务</t>
  </si>
  <si>
    <t xml:space="preserve">      机关服务</t>
  </si>
  <si>
    <t xml:space="preserve">      法制建设</t>
  </si>
  <si>
    <t xml:space="preserve">      信访事务</t>
  </si>
  <si>
    <t xml:space="preserve">      事业运行</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</si>
  <si>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</si>
  <si>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</si>
  <si>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</si>
  <si>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</si>
  <si>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</si>
  <si>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专项统计业务</t>
  </si>
  <si>
    <t xml:space="preserve">      统计抽样调查</t>
  </si>
  <si>
    <t xml:space="preserve">    财政事务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</si>
  <si>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</si>
  <si>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</si>
  <si>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</si>
  <si>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</si>
  <si>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</si>
  <si>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</si>
  <si>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审计事务</t>
  </si>
  <si>
    <t xml:space="preserve">    人力资源事务</t>
  </si>
  <si>
    <t xml:space="preserve">      军队转业干部安置</t>
  </si>
  <si>
    <t xml:space="preserve">      引进人才费用</t>
  </si>
  <si>
    <t xml:space="preserve">      其他人力资源事务支出</t>
  </si>
  <si>
    <t xml:space="preserve">    纪检监察事务</t>
  </si>
  <si>
    <t xml:space="preserve">    商贸事务</t>
  </si>
  <si>
    <t xml:space="preserve">      招商引资</t>
  </si>
  <si>
    <t xml:space="preserve">      其他商贸事务支出</t>
  </si>
  <si>
    <t xml:space="preserve">    知识产权事务</t>
  </si>
  <si>
    <t xml:space="preserve">      国家知识产权战略</t>
  </si>
  <si>
    <t xml:space="preserve">    工商行政管理事务</t>
  </si>
  <si>
    <t xml:space="preserve">      工商行政管理专项</t>
  </si>
  <si>
    <t xml:space="preserve">      执法办案专项</t>
  </si>
  <si>
    <t xml:space="preserve">      消费者权益保护</t>
  </si>
  <si>
    <t xml:space="preserve">    质量技术监督与检验检疫事务</t>
  </si>
  <si>
    <t xml:space="preserve">      质量技术监督行政执法及业务管理</t>
  </si>
  <si>
    <t xml:space="preserve">      质量技术监督技术支持</t>
  </si>
  <si>
    <t xml:space="preserve">      标准化管理 </t>
  </si>
  <si>
    <t xml:space="preserve">      其他质量技术监督与检验检疫事务支出</t>
  </si>
  <si>
    <t xml:space="preserve">    民族事务</t>
  </si>
  <si>
    <t xml:space="preserve">      民族工作专项</t>
  </si>
  <si>
    <t xml:space="preserve">    宗教事务</t>
  </si>
  <si>
    <t xml:space="preserve">    港澳台侨事务</t>
  </si>
  <si>
    <t xml:space="preserve">      华侨事务</t>
  </si>
  <si>
    <t xml:space="preserve">    档案事务</t>
  </si>
  <si>
    <t xml:space="preserve">    民主党派及工商联事务</t>
  </si>
  <si>
    <t xml:space="preserve">      参政议政</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</si>
  <si>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</si>
  <si>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</si>
  <si>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</si>
  <si>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</si>
  <si>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</si>
  <si>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</si>
  <si>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宣传事务</t>
  </si>
  <si>
    <t xml:space="preserve">      其他宣传事务支出</t>
  </si>
  <si>
    <t xml:space="preserve">    统战事务</t>
  </si>
  <si>
    <t xml:space="preserve">      其他统战事务支出</t>
  </si>
  <si>
    <t xml:space="preserve">    其他共产党事务支出</t>
  </si>
  <si>
    <t xml:space="preserve">    其他一般公共服务支出(款)</t>
  </si>
  <si>
    <t xml:space="preserve">      其他一般公共服务支出(项)</t>
  </si>
  <si>
    <t xml:space="preserve">  国防支出</t>
  </si>
  <si>
    <t xml:space="preserve">    现役部队(款)</t>
  </si>
  <si>
    <t xml:space="preserve">      现役部队(项)</t>
  </si>
  <si>
    <t xml:space="preserve">    国防动员</t>
  </si>
  <si>
    <t xml:space="preserve">      人民防空</t>
  </si>
  <si>
    <t xml:space="preserve">  公共安全支出</t>
  </si>
  <si>
    <t xml:space="preserve">    武装警察</t>
  </si>
  <si>
    <t xml:space="preserve">      消防</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</si>
  <si>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</si>
  <si>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</si>
  <si>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</si>
  <si>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</si>
  <si>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</si>
  <si>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</si>
  <si>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</si>
  <si>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</si>
  <si>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</si>
  <si>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</si>
  <si>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</si>
  <si>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</si>
  <si>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</si>
  <si>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</si>
  <si>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</si>
  <si>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</si>
  <si>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</si>
  <si>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</si>
  <si>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检察</t>
  </si>
  <si>
    <t xml:space="preserve">      查办和预防职务犯罪</t>
  </si>
  <si>
    <t xml:space="preserve">      公诉和审判监督</t>
  </si>
  <si>
    <t xml:space="preserve">      执行监督</t>
  </si>
  <si>
    <t xml:space="preserve">      其他检察支出</t>
  </si>
  <si>
    <t xml:space="preserve">    法院</t>
  </si>
  <si>
    <t xml:space="preserve">      “两庭”建设</t>
  </si>
  <si>
    <t xml:space="preserve">    司法</t>
  </si>
  <si>
    <t xml:space="preserve">      法律援助</t>
  </si>
  <si>
    <t xml:space="preserve">    强制隔离戒毒</t>
  </si>
  <si>
    <t xml:space="preserve">      强制隔离戒毒人员生活</t>
  </si>
  <si>
    <t xml:space="preserve">      所政设施建设</t>
  </si>
  <si>
    <t xml:space="preserve">      其他强制隔离戒毒支出</t>
  </si>
  <si>
    <t xml:space="preserve">    国家保密</t>
  </si>
  <si>
    <t xml:space="preserve">    其他公共安全支出(款)</t>
  </si>
  <si>
    <t xml:space="preserve">      其他公共安全支出(项)</t>
  </si>
  <si>
    <t xml:space="preserve">  教育支出</t>
  </si>
  <si>
    <t xml:space="preserve">    教育管理事务</t>
  </si>
  <si>
    <t xml:space="preserve">      其他教育管理事务支出</t>
  </si>
  <si>
    <t xml:space="preserve">    普通教育</t>
  </si>
  <si>
    <t xml:space="preserve">      学前教育</t>
  </si>
  <si>
    <t xml:space="preserve">      初中教育</t>
  </si>
  <si>
    <t xml:space="preserve">      高中教育</t>
  </si>
  <si>
    <t xml:space="preserve">      高等教育</t>
  </si>
  <si>
    <t xml:space="preserve">      其他普通教育支出</t>
  </si>
  <si>
    <t xml:space="preserve">    职业教育</t>
  </si>
  <si>
    <t xml:space="preserve">      中专教育</t>
  </si>
  <si>
    <t xml:space="preserve">      技校教育</t>
  </si>
  <si>
    <t xml:space="preserve">      高等职业教育</t>
  </si>
  <si>
    <t xml:space="preserve">      其他职业教育支出</t>
  </si>
  <si>
    <t xml:space="preserve">    成人教育</t>
  </si>
  <si>
    <t xml:space="preserve">      其他成人教育支出</t>
  </si>
  <si>
    <t xml:space="preserve">    广播电视教育</t>
  </si>
  <si>
    <t xml:space="preserve">      广播电视学校</t>
  </si>
  <si>
    <t xml:space="preserve">      其他广播电视教育支出</t>
  </si>
  <si>
    <t xml:space="preserve">    特殊教育</t>
  </si>
  <si>
    <t xml:space="preserve">      特殊学校教育</t>
  </si>
  <si>
    <t xml:space="preserve">      其他特殊教育支出</t>
  </si>
  <si>
    <t xml:space="preserve">    进修及培训</t>
  </si>
  <si>
    <t xml:space="preserve">      干部教育</t>
  </si>
  <si>
    <t xml:space="preserve">    其他教育支出(款)</t>
  </si>
  <si>
    <t xml:space="preserve">      其他教育支出(项)</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</si>
  <si>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</si>
  <si>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</si>
  <si>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</si>
  <si>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</si>
  <si>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</si>
  <si>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</si>
  <si>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技术研究与开发</t>
  </si>
  <si>
    <t xml:space="preserve">      应用技术研究与开发</t>
  </si>
  <si>
    <t xml:space="preserve">      科技成果转化与扩散</t>
  </si>
  <si>
    <t xml:space="preserve">      其他技术研究与开发支出</t>
  </si>
  <si>
    <t xml:space="preserve">    科技条件与服务</t>
  </si>
  <si>
    <t xml:space="preserve">      科技条件专项</t>
  </si>
  <si>
    <t xml:space="preserve">    社会科学</t>
  </si>
  <si>
    <t xml:space="preserve">      社会科学研究机构</t>
  </si>
  <si>
    <t xml:space="preserve">      其他社会科学支出</t>
  </si>
  <si>
    <t xml:space="preserve">    科学技术普及</t>
  </si>
  <si>
    <t xml:space="preserve">      学术交流活动</t>
  </si>
  <si>
    <t xml:space="preserve">      其他科学技术普及支出</t>
  </si>
  <si>
    <t xml:space="preserve">    科技重大项目</t>
  </si>
  <si>
    <t xml:space="preserve">      重点研发计划</t>
  </si>
  <si>
    <t xml:space="preserve">    其他科学技术支出</t>
  </si>
  <si>
    <t xml:space="preserve">      其他科学技术支出</t>
  </si>
  <si>
    <t xml:space="preserve">  文化体育与传媒支出</t>
  </si>
  <si>
    <t xml:space="preserve">    文化</t>
  </si>
  <si>
    <t xml:space="preserve">      图书馆</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</si>
  <si>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</si>
  <si>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</si>
  <si>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</si>
  <si>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</si>
  <si>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</si>
  <si>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</si>
  <si>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</si>
  <si>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</si>
  <si>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</si>
  <si>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其他文物支出</t>
  </si>
  <si>
    <t xml:space="preserve">    体育</t>
  </si>
  <si>
    <t xml:space="preserve">      体育竞赛</t>
  </si>
  <si>
    <t xml:space="preserve">      体育训练</t>
  </si>
  <si>
    <t xml:space="preserve">      体育场馆</t>
  </si>
  <si>
    <t xml:space="preserve">      群众体育</t>
  </si>
  <si>
    <t xml:space="preserve">      其他体育支出</t>
  </si>
  <si>
    <t xml:space="preserve">    新闻出版广播影视</t>
  </si>
  <si>
    <t xml:space="preserve">      广播</t>
  </si>
  <si>
    <t xml:space="preserve">      电视</t>
  </si>
  <si>
    <t xml:space="preserve">      新闻通讯</t>
  </si>
  <si>
    <t xml:space="preserve">      出版发行</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</si>
  <si>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</si>
  <si>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</si>
  <si>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</si>
  <si>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</si>
  <si>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</si>
  <si>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社会保障和就业支出</t>
  </si>
  <si>
    <t xml:space="preserve">    人力资源和社会保障管理事务</t>
  </si>
  <si>
    <t xml:space="preserve">      就业管理事务</t>
  </si>
  <si>
    <t xml:space="preserve">      社会保险业务管理事务</t>
  </si>
  <si>
    <t xml:space="preserve">      社会保险经办机构</t>
  </si>
  <si>
    <t xml:space="preserve">      劳动关系和维权</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</si>
  <si>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</si>
  <si>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</si>
  <si>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</si>
  <si>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</si>
  <si>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</si>
  <si>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</si>
  <si>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</si>
  <si>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</si>
  <si>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</si>
  <si>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</si>
  <si>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</si>
  <si>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</si>
  <si>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</si>
  <si>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机关事业单位基本养老保险缴费支出</t>
  </si>
  <si>
    <t xml:space="preserve">      对机关事业单位基本养老保险基金的补助</t>
  </si>
  <si>
    <t xml:space="preserve">    企业改革补助</t>
  </si>
  <si>
    <t xml:space="preserve">      其他企业改革发展补助</t>
  </si>
  <si>
    <t xml:space="preserve">    就业补助</t>
  </si>
  <si>
    <t xml:space="preserve">      就业创业服务补贴</t>
  </si>
  <si>
    <t xml:space="preserve">      高技能人才培养补助</t>
  </si>
  <si>
    <t xml:space="preserve">      其他就业补助支出</t>
  </si>
  <si>
    <t xml:space="preserve">    抚恤</t>
  </si>
  <si>
    <t xml:space="preserve">      死亡抚恤</t>
  </si>
  <si>
    <t xml:space="preserve">      优抚事业单位支出</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</si>
  <si>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</si>
  <si>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</si>
  <si>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</si>
  <si>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</si>
  <si>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</si>
  <si>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</si>
  <si>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</si>
  <si>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</si>
  <si>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</si>
  <si>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</si>
  <si>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</si>
  <si>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</si>
  <si>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</si>
  <si>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</si>
  <si>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</si>
  <si>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</si>
  <si>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</si>
  <si>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</si>
  <si>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</si>
  <si>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其他自然灾害生活救助支出</t>
  </si>
  <si>
    <t xml:space="preserve">    红十字事业</t>
  </si>
  <si>
    <t xml:space="preserve">      其他红十字事业支出</t>
  </si>
  <si>
    <t xml:space="preserve">    临时救助</t>
  </si>
  <si>
    <t xml:space="preserve">      临时救助支出</t>
  </si>
  <si>
    <t xml:space="preserve">      流浪乞讨人员救助支出</t>
  </si>
  <si>
    <t xml:space="preserve">    财政对基本养老保险基金的补助</t>
  </si>
  <si>
    <t xml:space="preserve">      财政对企业职工基本养老保险基金的补助</t>
  </si>
  <si>
    <t xml:space="preserve">    财政对其他社会保险基金的补助</t>
  </si>
  <si>
    <t xml:space="preserve">      财政对工伤保险基金的补助</t>
  </si>
  <si>
    <t xml:space="preserve">    其他社会保障和就业支出(款)</t>
  </si>
  <si>
    <t xml:space="preserve">      其他社会保障和就业支出(项)</t>
  </si>
  <si>
    <t xml:space="preserve">  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</si>
  <si>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</si>
  <si>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</si>
  <si>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</si>
  <si>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</si>
  <si>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</si>
  <si>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</si>
  <si>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精神病医院</t>
  </si>
  <si>
    <t xml:space="preserve">      妇产医院</t>
  </si>
  <si>
    <t xml:space="preserve">      儿童医院</t>
  </si>
  <si>
    <t xml:space="preserve">      其他专科医院</t>
  </si>
  <si>
    <t xml:space="preserve">      其他公立医院支出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</si>
  <si>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</si>
  <si>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</si>
  <si>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</si>
  <si>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</si>
  <si>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</si>
  <si>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</si>
  <si>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</si>
  <si>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</si>
  <si>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</si>
  <si>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</si>
  <si>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</si>
  <si>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</si>
  <si>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</si>
  <si>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</si>
  <si>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</si>
  <si>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</si>
  <si>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</si>
  <si>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</si>
  <si>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</si>
  <si>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</si>
  <si>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</si>
  <si>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</si>
  <si>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</si>
  <si>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</si>
  <si>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</si>
  <si>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</si>
  <si>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财政对基本医疗保险基金的补助</t>
  </si>
  <si>
    <t xml:space="preserve">      财政对其他基本医疗保险基金的补助</t>
  </si>
  <si>
    <t xml:space="preserve">    医疗救助</t>
  </si>
  <si>
    <t xml:space="preserve">      城乡医疗救助</t>
  </si>
  <si>
    <t xml:space="preserve">      疾病应急救助</t>
  </si>
  <si>
    <t xml:space="preserve">    优抚对象医疗</t>
  </si>
  <si>
    <t xml:space="preserve">      优抚对象医疗补助</t>
  </si>
  <si>
    <t xml:space="preserve">    其他医疗卫生与计划生育支出</t>
  </si>
  <si>
    <t xml:space="preserve">      其他医疗卫生与计划生育支出</t>
  </si>
  <si>
    <t xml:space="preserve">  节能环保支出</t>
  </si>
  <si>
    <t xml:space="preserve">    环境保护管理事务</t>
  </si>
  <si>
    <t xml:space="preserve">      环境保护宣传</t>
  </si>
  <si>
    <t xml:space="preserve">      其他环境保护管理事务支出</t>
  </si>
  <si>
    <t xml:space="preserve">    环境监测与监察</t>
  </si>
  <si>
    <t xml:space="preserve">      建设项目环评审查与监督</t>
  </si>
  <si>
    <t xml:space="preserve">    污染防治</t>
  </si>
  <si>
    <t xml:space="preserve">      大气</t>
  </si>
  <si>
    <t xml:space="preserve">      水体</t>
  </si>
  <si>
    <t xml:space="preserve">      其他污染防治支出</t>
  </si>
  <si>
    <t xml:space="preserve">    自然生态保护</t>
  </si>
  <si>
    <t xml:space="preserve">      农村环境保护</t>
  </si>
  <si>
    <t xml:space="preserve">    天然林保护</t>
  </si>
  <si>
    <t xml:space="preserve">      森林管护</t>
  </si>
  <si>
    <t xml:space="preserve">      停伐补助</t>
  </si>
  <si>
    <t xml:space="preserve">    污染减排</t>
  </si>
  <si>
    <t xml:space="preserve">       环境监测与信息</t>
  </si>
  <si>
    <t xml:space="preserve">       环境执法监察</t>
  </si>
  <si>
    <t xml:space="preserve">    能源管理事务</t>
  </si>
  <si>
    <t xml:space="preserve">    其他节能环保支出(款)</t>
  </si>
  <si>
    <t xml:space="preserve">      其他节能环保支出(项)</t>
  </si>
  <si>
    <t xml:space="preserve">  城乡社区支出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</si>
  <si>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</si>
  <si>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</si>
  <si>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</si>
  <si>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</si>
  <si>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</si>
  <si>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</si>
  <si>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</si>
  <si>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</si>
  <si>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</si>
  <si>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</si>
  <si>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</si>
  <si>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</si>
  <si>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</si>
  <si>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 xml:space="preserve">  农林水支出</t>
  </si>
  <si>
    <t xml:space="preserve">    农业</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</si>
  <si>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</si>
  <si>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</si>
  <si>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</si>
  <si>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</si>
  <si>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</si>
  <si>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</si>
  <si>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</si>
  <si>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农业组织化与产业化经营</t>
  </si>
  <si>
    <t xml:space="preserve">      农产品加工与促销</t>
  </si>
  <si>
    <t xml:space="preserve">      农村公益事业</t>
  </si>
  <si>
    <t xml:space="preserve">      农业资源保护修复与利用</t>
  </si>
  <si>
    <t xml:space="preserve">      成品油价格改革对渔业的补贴</t>
  </si>
  <si>
    <t xml:space="preserve">      其他农业支出</t>
  </si>
  <si>
    <t xml:space="preserve">    林业</t>
  </si>
  <si>
    <t xml:space="preserve">      森林培育</t>
  </si>
  <si>
    <t xml:space="preserve">      森林资源管理</t>
  </si>
  <si>
    <t xml:space="preserve">      森林生态效益补偿</t>
  </si>
  <si>
    <t xml:space="preserve">      动植物保护</t>
  </si>
  <si>
    <t xml:space="preserve">      湿地保护</t>
  </si>
  <si>
    <t xml:space="preserve">      林业执法与监督</t>
  </si>
  <si>
    <t xml:space="preserve">      林业检疫检测</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</si>
  <si>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</si>
  <si>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</si>
  <si>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</si>
  <si>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</si>
  <si>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</si>
  <si>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</si>
  <si>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水利前期工作</t>
  </si>
  <si>
    <t xml:space="preserve">      水资源节约管理与保护</t>
  </si>
  <si>
    <t xml:space="preserve">      水质监测</t>
  </si>
  <si>
    <t xml:space="preserve">      水文测报</t>
  </si>
  <si>
    <t xml:space="preserve">      防汛</t>
  </si>
  <si>
    <t xml:space="preserve">      大中型水库移民后期扶持专项支出</t>
  </si>
  <si>
    <t xml:space="preserve">      其他水利支出</t>
  </si>
  <si>
    <t xml:space="preserve">    扶贫</t>
  </si>
  <si>
    <t xml:space="preserve">      农村基础设施建设</t>
  </si>
  <si>
    <t xml:space="preserve">      社会发展</t>
  </si>
  <si>
    <t xml:space="preserve">      其他扶贫支出</t>
  </si>
  <si>
    <t xml:space="preserve">    农业综合开发</t>
  </si>
  <si>
    <t xml:space="preserve">      土地治理</t>
  </si>
  <si>
    <t xml:space="preserve">      产业化发展</t>
  </si>
  <si>
    <t xml:space="preserve">      其他农业综合开发支出</t>
  </si>
  <si>
    <t xml:space="preserve">    普惠金融发展支出</t>
  </si>
  <si>
    <t xml:space="preserve">      创业担保贷款贴息</t>
  </si>
  <si>
    <t xml:space="preserve">    其他农林水事务支出(款)</t>
  </si>
  <si>
    <t xml:space="preserve">      其他农林水事务支出(项)</t>
  </si>
  <si>
    <t xml:space="preserve">  交通运输支出</t>
  </si>
  <si>
    <t xml:space="preserve">    公路水路运输</t>
  </si>
  <si>
    <t xml:space="preserve">      公路运输管理</t>
  </si>
  <si>
    <t xml:space="preserve">      海事管理</t>
  </si>
  <si>
    <t xml:space="preserve">      其他公路水路运输支出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</si>
  <si>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</si>
  <si>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</si>
  <si>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</si>
  <si>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</si>
  <si>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</si>
  <si>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</si>
  <si>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车辆购置税支出</t>
  </si>
  <si>
    <t xml:space="preserve">      车辆购置税用于公路等基础设施建设支出</t>
  </si>
  <si>
    <t xml:space="preserve">      车辆购置税其他支出</t>
  </si>
  <si>
    <t xml:space="preserve">    其他交通运输支出(款)</t>
  </si>
  <si>
    <t xml:space="preserve">      公共交通运营补助</t>
  </si>
  <si>
    <t xml:space="preserve">      其他交通运输支出(项)</t>
  </si>
  <si>
    <t xml:space="preserve">  资源勘探信息等支出</t>
  </si>
  <si>
    <t xml:space="preserve">    资源勘探开发</t>
  </si>
  <si>
    <t xml:space="preserve">      其他资源勘探业支出</t>
  </si>
  <si>
    <t xml:space="preserve">    工业和信息产业监管</t>
  </si>
  <si>
    <t xml:space="preserve">      无线电监管</t>
  </si>
  <si>
    <t xml:space="preserve">      其他工业和信息产业监管支出</t>
  </si>
  <si>
    <t xml:space="preserve">    安全生产监管</t>
  </si>
  <si>
    <t xml:space="preserve">      安全监管监察专项</t>
  </si>
  <si>
    <t xml:space="preserve">      应急救援支出</t>
  </si>
  <si>
    <t xml:space="preserve">      其他安全生产监管支出</t>
  </si>
  <si>
    <t xml:space="preserve">    国有资产监管</t>
  </si>
  <si>
    <t xml:space="preserve">      其他国有资产监管支出</t>
  </si>
  <si>
    <t xml:space="preserve">    支持中小企业发展和管理支出</t>
  </si>
  <si>
    <t xml:space="preserve">      中小企业发展专项</t>
  </si>
  <si>
    <t xml:space="preserve">    其他资源勘探信息等支出(款)</t>
  </si>
  <si>
    <t xml:space="preserve">      其他资源勘探信息等支出(项)</t>
  </si>
  <si>
    <t xml:space="preserve">  商业服务业等支出</t>
  </si>
  <si>
    <t xml:space="preserve">    商业流通事务</t>
  </si>
  <si>
    <t xml:space="preserve">      其他商业流通事务支出</t>
  </si>
  <si>
    <t xml:space="preserve">    旅游业管理与服务支出</t>
  </si>
  <si>
    <t xml:space="preserve">      旅游宣传</t>
  </si>
  <si>
    <t xml:space="preserve">      其他旅游业管理与服务支出</t>
  </si>
  <si>
    <t xml:space="preserve">    涉外发展服务支出</t>
  </si>
  <si>
    <t xml:space="preserve">      其他涉外发展服务支出</t>
  </si>
  <si>
    <t xml:space="preserve">  金融支出</t>
  </si>
  <si>
    <t xml:space="preserve">    金融部门行政支出</t>
  </si>
  <si>
    <t xml:space="preserve">      金融部门其他行政支出</t>
  </si>
  <si>
    <t xml:space="preserve">    其他金融支出(款)</t>
  </si>
  <si>
    <t xml:space="preserve">      其他金融支出(项)</t>
  </si>
  <si>
    <t xml:space="preserve">  国土海洋气象等支出</t>
  </si>
  <si>
    <t xml:space="preserve">    国土资源事务</t>
  </si>
  <si>
    <t xml:space="preserve">      地质灾害防治</t>
  </si>
  <si>
    <t xml:space="preserve">      地质矿产资源利用与保护</t>
  </si>
  <si>
    <t xml:space="preserve">      其他国土资源事务支出</t>
  </si>
  <si>
    <t xml:space="preserve">    测绘事务</t>
  </si>
  <si>
    <t xml:space="preserve">      基础测绘</t>
  </si>
  <si>
    <t xml:space="preserve">    地震事务</t>
  </si>
  <si>
    <t xml:space="preserve">      地震监测</t>
  </si>
  <si>
    <t xml:space="preserve">    气象事务</t>
  </si>
  <si>
    <t xml:space="preserve">      气象服务</t>
  </si>
  <si>
    <t xml:space="preserve">      气象基础设施建设与维修</t>
  </si>
  <si>
    <t xml:space="preserve">  住房保障支出</t>
  </si>
  <si>
    <t xml:space="preserve">    保障性安居工程支出</t>
  </si>
  <si>
    <t xml:space="preserve">      棚户区改造</t>
  </si>
  <si>
    <t xml:space="preserve">      公共租赁住房</t>
  </si>
  <si>
    <t xml:space="preserve">      其他保障性安居工程支出</t>
  </si>
  <si>
    <t xml:space="preserve">    住房改革支出</t>
  </si>
  <si>
    <t xml:space="preserve">      住房公积金</t>
  </si>
  <si>
    <t xml:space="preserve">  粮油物资储备支出</t>
  </si>
  <si>
    <t xml:space="preserve">    粮油事务</t>
  </si>
  <si>
    <t xml:space="preserve">      其他粮油事务支出</t>
  </si>
  <si>
    <t xml:space="preserve">    物资事务</t>
  </si>
  <si>
    <t xml:space="preserve">    重要商品储备</t>
  </si>
  <si>
    <t xml:space="preserve">      肉类储备</t>
  </si>
  <si>
    <t xml:space="preserve">  预备费</t>
  </si>
  <si>
    <t xml:space="preserve">  其他支出(类)</t>
  </si>
  <si>
    <t xml:space="preserve">    其他支出(款)</t>
  </si>
  <si>
    <t xml:space="preserve">      其他支出(项)</t>
  </si>
  <si>
    <t xml:space="preserve">  债务付息支出</t>
  </si>
  <si>
    <t xml:space="preserve">    地方政府一般债务付息支出</t>
  </si>
  <si>
    <t xml:space="preserve">      地方政府一般债券付息支出</t>
  </si>
  <si>
    <t>本级支出小计</t>
  </si>
  <si>
    <t>转移性支出</t>
  </si>
  <si>
    <t xml:space="preserve">  补助下级支出</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</si>
  <si>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</si>
  <si>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</si>
  <si>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</si>
  <si>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</si>
  <si>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</si>
  <si>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</si>
  <si>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</si>
  <si>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</si>
  <si>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</si>
  <si>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t>
  </si>
  <si>
    <t xml:space="preserve">      节能环保</t>
  </si>
  <si>
    <t xml:space="preserve">      城乡社区</t>
  </si>
  <si>
    <t xml:space="preserve">      农林水</t>
  </si>
  <si>
    <t xml:space="preserve">      交通运输</t>
  </si>
  <si>
    <t xml:space="preserve">      资源勘探电力信息等</t>
  </si>
  <si>
    <t xml:space="preserve">      商业服务业等</t>
  </si>
  <si>
    <t xml:space="preserve">      金融</t>
  </si>
  <si>
    <t xml:space="preserve">      国土海洋气象等</t>
  </si>
  <si>
    <t xml:space="preserve">      住房保障</t>
  </si>
  <si>
    <t xml:space="preserve">      粮油物资储备</t>
  </si>
  <si>
    <t xml:space="preserve">      其他支出</t>
  </si>
  <si>
    <t>支出总计</t>
  </si>
  <si>
    <r>
      <rPr>
        <sz val="11"/>
        <color indexed="8"/>
        <rFont val="宋体"/>
        <family val="3"/>
        <charset val="134"/>
      </rPr>
      <t>单位：万元</t>
    </r>
  </si>
  <si>
    <t>项目</t>
  </si>
  <si>
    <t>一、工资福利支出</t>
  </si>
  <si>
    <t xml:space="preserve">   工资奖金津补贴</t>
  </si>
  <si>
    <t xml:space="preserve">   社会保障缴费</t>
  </si>
  <si>
    <t xml:space="preserve">   住房公积金</t>
  </si>
  <si>
    <t xml:space="preserve">   其他工资福利支出</t>
  </si>
  <si>
    <r>
      <rPr>
        <b/>
        <sz val="11"/>
        <color indexed="8"/>
        <rFont val="宋体"/>
        <family val="3"/>
        <charset val="134"/>
      </rPr>
      <t>二、商品和服务支出</t>
    </r>
  </si>
  <si>
    <t xml:space="preserve">   办公经费</t>
  </si>
  <si>
    <t xml:space="preserve">   会议费</t>
  </si>
  <si>
    <t xml:space="preserve">   公务接待费</t>
  </si>
  <si>
    <t xml:space="preserve">   因公出国（境）费用</t>
  </si>
  <si>
    <t xml:space="preserve">   公务用车运行维护费</t>
  </si>
  <si>
    <t xml:space="preserve">   其他商品和服务支出</t>
  </si>
  <si>
    <t>三、对事业单位经常性补助</t>
  </si>
  <si>
    <t xml:space="preserve">   工资福利支出</t>
  </si>
  <si>
    <t xml:space="preserve">   商品和服务支出</t>
  </si>
  <si>
    <t xml:space="preserve">   其他对事业单位补助</t>
  </si>
  <si>
    <r>
      <rPr>
        <b/>
        <sz val="11"/>
        <color indexed="8"/>
        <rFont val="宋体"/>
        <family val="3"/>
        <charset val="134"/>
      </rPr>
      <t>四、对个人和家庭的补助</t>
    </r>
  </si>
  <si>
    <t xml:space="preserve">   社会福利和救助</t>
  </si>
  <si>
    <t xml:space="preserve">   离退休费</t>
  </si>
  <si>
    <t xml:space="preserve">   其他对个人和家庭补助</t>
  </si>
  <si>
    <r>
      <rPr>
        <b/>
        <sz val="11"/>
        <color indexed="8"/>
        <rFont val="宋体"/>
        <family val="3"/>
        <charset val="134"/>
      </rPr>
      <t>合计</t>
    </r>
  </si>
  <si>
    <t xml:space="preserve">说明：根据省财政预算编制口径，本表反映部门预算基本支出按经济分类科目情况。
</t>
  </si>
  <si>
    <t>收入项目</t>
  </si>
  <si>
    <r>
      <rPr>
        <sz val="10"/>
        <rFont val="Times New Roman"/>
        <family val="1"/>
      </rPr>
      <t xml:space="preserve">   2018</t>
    </r>
    <r>
      <rPr>
        <sz val="10"/>
        <rFont val="宋体"/>
        <family val="3"/>
        <charset val="134"/>
      </rPr>
      <t>年完成数</t>
    </r>
  </si>
  <si>
    <r>
      <rPr>
        <sz val="11"/>
        <rFont val="Times New Roman"/>
        <family val="1"/>
      </rPr>
      <t>2019</t>
    </r>
    <r>
      <rPr>
        <sz val="11"/>
        <rFont val="宋体"/>
        <family val="3"/>
        <charset val="134"/>
      </rPr>
      <t>年预算数</t>
    </r>
  </si>
  <si>
    <t>一、散装水泥专项资金收入</t>
  </si>
  <si>
    <t>二、新型墙体材料专项基金收入</t>
  </si>
  <si>
    <t>三、城市公用事业附加收入</t>
  </si>
  <si>
    <t>四、国有土地收益基金收入</t>
  </si>
  <si>
    <t>五、农业土地开发资金收入</t>
  </si>
  <si>
    <t>六、国有土地使用权出让收入</t>
  </si>
  <si>
    <t xml:space="preserve">      土地出让价款收入</t>
  </si>
  <si>
    <t xml:space="preserve">      补缴的土地价款</t>
  </si>
  <si>
    <t xml:space="preserve">      其他土地出让收入</t>
  </si>
  <si>
    <t>七、小型水库移民扶助基金收入</t>
  </si>
  <si>
    <t>八、城市基础设施配套费收入</t>
  </si>
  <si>
    <t>九、车辆通行费</t>
  </si>
  <si>
    <t>十、污水处理费收入</t>
  </si>
  <si>
    <t>十一、其他政府性基金收入</t>
  </si>
  <si>
    <t>一、文化体育与传媒支出</t>
  </si>
  <si>
    <t xml:space="preserve">    国家电影事业发展专项资金支出</t>
  </si>
  <si>
    <t>二、社会保障和就业支出</t>
  </si>
  <si>
    <t xml:space="preserve">    大中型水库移民后期扶持基金支出</t>
  </si>
  <si>
    <t xml:space="preserve">    小型水库移民扶助基金支出</t>
  </si>
  <si>
    <t>三、城乡社区支出</t>
  </si>
  <si>
    <t xml:space="preserve">    国有土地使用权出让收入安排的支出</t>
  </si>
  <si>
    <t xml:space="preserve">    国有土地收益基金支出</t>
  </si>
  <si>
    <t xml:space="preserve">    农业土地开发资金支出</t>
  </si>
  <si>
    <t xml:space="preserve">    城市基础设施配套费安排的支出</t>
  </si>
  <si>
    <t xml:space="preserve">    污水处理费相关支出</t>
  </si>
  <si>
    <t>四、农林水支出</t>
  </si>
  <si>
    <t xml:space="preserve">    大中型水库库区基金支出</t>
  </si>
  <si>
    <t xml:space="preserve">    国家重大水利工程建设基金支出</t>
  </si>
  <si>
    <t>五、交通运输支出</t>
  </si>
  <si>
    <t xml:space="preserve">    车辆通行费安排的支出</t>
  </si>
  <si>
    <t>六、商业服务业等支出</t>
  </si>
  <si>
    <t xml:space="preserve">    旅游发展基金支出</t>
  </si>
  <si>
    <t>七、其他支出</t>
  </si>
  <si>
    <t xml:space="preserve">    其他政府性基金支出</t>
  </si>
  <si>
    <t xml:space="preserve">    彩票发行销售机构业务费安排的支出</t>
  </si>
  <si>
    <t xml:space="preserve">    彩票公益金安排的支出</t>
  </si>
  <si>
    <t>八、债务付息支出</t>
  </si>
  <si>
    <t xml:space="preserve">    其他政府性基金债务付息支出</t>
  </si>
  <si>
    <r>
      <rPr>
        <sz val="11"/>
        <rFont val="Times New Roman"/>
        <family val="1"/>
      </rPr>
      <t>2018</t>
    </r>
    <r>
      <rPr>
        <sz val="11"/>
        <rFont val="宋体"/>
        <family val="3"/>
        <charset val="134"/>
      </rPr>
      <t>年完成数</t>
    </r>
  </si>
  <si>
    <t>本年收入小计</t>
  </si>
  <si>
    <t>四、上级专项转移支付</t>
  </si>
  <si>
    <t>六、调入资金——其他</t>
  </si>
  <si>
    <t>七、上年结转</t>
  </si>
  <si>
    <t>说明：1、根据中发〔2018〕27号文件规定，暂停土地出让收入各项政策性计提，统筹用于偿还保障性安居工程，教育、水利等领域债务。</t>
  </si>
  <si>
    <t xml:space="preserve">     2、根据财政部关于将地方政府债券全部纳入预算管理、列入相应支出科目的要求，专项债务置换债券付息支出列入政府性基金预算。政府债务置换后的还本付息，仍由原债务单位承担（主要是各平台公司），通过调入资金科目调入政府性基金预算。</t>
  </si>
  <si>
    <t>一、城乡社区支出</t>
  </si>
  <si>
    <t xml:space="preserve">      征地和拆迁补偿支出</t>
  </si>
  <si>
    <t xml:space="preserve">      土地开发支出</t>
  </si>
  <si>
    <t xml:space="preserve">      城市建设支出</t>
  </si>
  <si>
    <t xml:space="preserve">      补助被征地农民支出</t>
  </si>
  <si>
    <t xml:space="preserve">      土地出让业务支出</t>
  </si>
  <si>
    <t xml:space="preserve">      支付破产或改制企业职工安置费</t>
  </si>
  <si>
    <t xml:space="preserve">      公共租赁住房支出</t>
  </si>
  <si>
    <t xml:space="preserve">      其他国有土地使用权出让收入安排的支出</t>
  </si>
  <si>
    <t>　    其他国有土地收益基金支出</t>
  </si>
  <si>
    <t xml:space="preserve">      其他城市基础设施配套费安排的支出</t>
  </si>
  <si>
    <t xml:space="preserve">   污水处理费相关支出</t>
  </si>
  <si>
    <t xml:space="preserve">     其他污水处理费相关支出</t>
  </si>
  <si>
    <t>二、资源勘探信息等支出</t>
  </si>
  <si>
    <t xml:space="preserve">    新型墙体材料专项基金支出</t>
  </si>
  <si>
    <t xml:space="preserve">      其他新型墙体材料专项基金支出</t>
  </si>
  <si>
    <t>三、其他支出</t>
  </si>
  <si>
    <t>本年支出小计</t>
  </si>
  <si>
    <t>五、置换债券付息支出</t>
  </si>
  <si>
    <t>六、调出资金——一般公共预算</t>
  </si>
  <si>
    <t>七、结转下年</t>
  </si>
  <si>
    <t xml:space="preserve">     2、根据财政部关于将地方政府债券全部纳入预算管理、列入相应支出科目的要求，专项债务置换债券付息支出列入政府性基金预算。</t>
  </si>
  <si>
    <r>
      <rPr>
        <b/>
        <sz val="10"/>
        <rFont val="宋体"/>
        <family val="3"/>
        <charset val="134"/>
      </rPr>
      <t>收</t>
    </r>
    <r>
      <rPr>
        <b/>
        <sz val="10"/>
        <rFont val="Times New Roman"/>
        <family val="1"/>
      </rPr>
      <t xml:space="preserve">          </t>
    </r>
    <r>
      <rPr>
        <b/>
        <sz val="10"/>
        <rFont val="宋体"/>
        <family val="3"/>
        <charset val="134"/>
      </rPr>
      <t>入</t>
    </r>
  </si>
  <si>
    <r>
      <rPr>
        <b/>
        <sz val="10"/>
        <rFont val="宋体"/>
        <family val="3"/>
        <charset val="134"/>
      </rPr>
      <t>支</t>
    </r>
    <r>
      <rPr>
        <b/>
        <sz val="10"/>
        <rFont val="Times New Roman"/>
        <family val="1"/>
      </rPr>
      <t xml:space="preserve">          </t>
    </r>
    <r>
      <rPr>
        <b/>
        <sz val="10"/>
        <rFont val="宋体"/>
        <family val="3"/>
        <charset val="134"/>
      </rPr>
      <t>出</t>
    </r>
  </si>
  <si>
    <r>
      <rPr>
        <sz val="11"/>
        <rFont val="宋体"/>
        <family val="3"/>
        <charset val="134"/>
      </rPr>
      <t>项</t>
    </r>
    <r>
      <rPr>
        <sz val="11"/>
        <rFont val="Times New Roman"/>
        <family val="1"/>
      </rPr>
      <t xml:space="preserve">        </t>
    </r>
    <r>
      <rPr>
        <sz val="11"/>
        <rFont val="宋体"/>
        <family val="3"/>
        <charset val="134"/>
      </rPr>
      <t>目</t>
    </r>
  </si>
  <si>
    <r>
      <rPr>
        <sz val="11"/>
        <rFont val="宋体"/>
        <family val="3"/>
        <charset val="134"/>
      </rPr>
      <t>201</t>
    </r>
    <r>
      <rPr>
        <sz val="11"/>
        <rFont val="宋体"/>
        <family val="3"/>
        <charset val="134"/>
      </rPr>
      <t>9</t>
    </r>
    <r>
      <rPr>
        <sz val="11"/>
        <rFont val="宋体"/>
        <family val="3"/>
        <charset val="134"/>
      </rPr>
      <t>年预算数</t>
    </r>
  </si>
  <si>
    <t>一、教育支出</t>
  </si>
  <si>
    <t xml:space="preserve">    投资服务企业利润收入</t>
  </si>
  <si>
    <t>二、科学技术支出</t>
  </si>
  <si>
    <t xml:space="preserve">    石油石化企业利润收入</t>
  </si>
  <si>
    <t>三、文化体育与传媒支出</t>
  </si>
  <si>
    <t xml:space="preserve">    其他国有资本经营预算企业利润收入</t>
  </si>
  <si>
    <t>四、社会保障和就业支出</t>
  </si>
  <si>
    <t>二、股利、股息收入</t>
  </si>
  <si>
    <t>五、节能环保支出</t>
  </si>
  <si>
    <r>
      <rPr>
        <sz val="11"/>
        <rFont val="Times New Roman"/>
        <family val="1"/>
      </rPr>
      <t xml:space="preserve">          </t>
    </r>
    <r>
      <rPr>
        <sz val="11"/>
        <rFont val="宋体"/>
        <family val="3"/>
        <charset val="134"/>
      </rPr>
      <t>国有控股公司股利、股息收入</t>
    </r>
  </si>
  <si>
    <t>六、城乡社区事务支出</t>
  </si>
  <si>
    <r>
      <rPr>
        <sz val="11"/>
        <rFont val="Times New Roman"/>
        <family val="1"/>
      </rPr>
      <t xml:space="preserve">          </t>
    </r>
    <r>
      <rPr>
        <sz val="11"/>
        <rFont val="宋体"/>
        <family val="3"/>
        <charset val="134"/>
      </rPr>
      <t>国有参股公司股利、股息收入</t>
    </r>
  </si>
  <si>
    <t>七、农林水支出</t>
  </si>
  <si>
    <r>
      <rPr>
        <sz val="11"/>
        <rFont val="Times New Roman"/>
        <family val="1"/>
      </rPr>
      <t xml:space="preserve">          </t>
    </r>
    <r>
      <rPr>
        <sz val="11"/>
        <rFont val="宋体"/>
        <family val="3"/>
        <charset val="134"/>
      </rPr>
      <t>其他国有资本经营预算企业股利、股息收入</t>
    </r>
  </si>
  <si>
    <t>八、交通运输支出</t>
  </si>
  <si>
    <t>三、产权转让收入</t>
  </si>
  <si>
    <t>九、资源勘探电力信息等支出</t>
  </si>
  <si>
    <t>十、商业服务业等支出</t>
  </si>
  <si>
    <t>四、清算收入</t>
  </si>
  <si>
    <t>十一、其他支出</t>
  </si>
  <si>
    <t>十二、转移性支出</t>
  </si>
  <si>
    <t>五、其他国有资本经营收入</t>
  </si>
  <si>
    <t xml:space="preserve">    1、国有资本经营预算调出资金</t>
  </si>
  <si>
    <t>本年收入合计</t>
  </si>
  <si>
    <t>本年支出合计</t>
  </si>
  <si>
    <t>上年结转</t>
  </si>
  <si>
    <t>结转下年</t>
  </si>
  <si>
    <r>
      <rPr>
        <b/>
        <sz val="11"/>
        <rFont val="宋体"/>
        <family val="3"/>
        <charset val="134"/>
      </rPr>
      <t>收</t>
    </r>
    <r>
      <rPr>
        <b/>
        <sz val="11"/>
        <rFont val="Times New Roman"/>
        <family val="1"/>
      </rPr>
      <t xml:space="preserve"> </t>
    </r>
    <r>
      <rPr>
        <b/>
        <sz val="11"/>
        <rFont val="宋体"/>
        <family val="3"/>
        <charset val="134"/>
      </rPr>
      <t>入</t>
    </r>
    <r>
      <rPr>
        <b/>
        <sz val="11"/>
        <rFont val="Times New Roman"/>
        <family val="1"/>
      </rPr>
      <t xml:space="preserve"> </t>
    </r>
    <r>
      <rPr>
        <b/>
        <sz val="11"/>
        <rFont val="宋体"/>
        <family val="3"/>
        <charset val="134"/>
      </rPr>
      <t>总</t>
    </r>
    <r>
      <rPr>
        <b/>
        <sz val="11"/>
        <rFont val="Times New Roman"/>
        <family val="1"/>
      </rPr>
      <t xml:space="preserve"> </t>
    </r>
    <r>
      <rPr>
        <b/>
        <sz val="11"/>
        <rFont val="宋体"/>
        <family val="3"/>
        <charset val="134"/>
      </rPr>
      <t>计</t>
    </r>
  </si>
  <si>
    <r>
      <rPr>
        <b/>
        <sz val="11"/>
        <rFont val="宋体"/>
        <family val="3"/>
        <charset val="134"/>
      </rPr>
      <t>支</t>
    </r>
    <r>
      <rPr>
        <b/>
        <sz val="11"/>
        <rFont val="Times New Roman"/>
        <family val="1"/>
      </rPr>
      <t xml:space="preserve"> </t>
    </r>
    <r>
      <rPr>
        <b/>
        <sz val="11"/>
        <rFont val="宋体"/>
        <family val="3"/>
        <charset val="134"/>
      </rPr>
      <t>出</t>
    </r>
    <r>
      <rPr>
        <b/>
        <sz val="11"/>
        <rFont val="Times New Roman"/>
        <family val="1"/>
      </rPr>
      <t xml:space="preserve"> </t>
    </r>
    <r>
      <rPr>
        <b/>
        <sz val="11"/>
        <rFont val="宋体"/>
        <family val="3"/>
        <charset val="134"/>
      </rPr>
      <t>总</t>
    </r>
    <r>
      <rPr>
        <b/>
        <sz val="11"/>
        <rFont val="Times New Roman"/>
        <family val="1"/>
      </rPr>
      <t xml:space="preserve"> </t>
    </r>
    <r>
      <rPr>
        <b/>
        <sz val="11"/>
        <rFont val="宋体"/>
        <family val="3"/>
        <charset val="134"/>
      </rPr>
      <t>计</t>
    </r>
  </si>
  <si>
    <t xml:space="preserve">               单位：万元</t>
  </si>
  <si>
    <t>科目名称／企业</t>
  </si>
  <si>
    <t xml:space="preserve">     投资服务企业利润收入</t>
  </si>
  <si>
    <t>益阳市交通发展有限责任公司</t>
  </si>
  <si>
    <t>益阳市城市建设投资开发有限责任公司</t>
  </si>
  <si>
    <t>益阳市银湘国有资产经营有限公司</t>
  </si>
  <si>
    <t>益阳市财源建设投资有限公司</t>
  </si>
  <si>
    <r>
      <rPr>
        <sz val="10"/>
        <rFont val="Times New Roman"/>
        <family val="1"/>
      </rPr>
      <t xml:space="preserve">          </t>
    </r>
    <r>
      <rPr>
        <sz val="10"/>
        <rFont val="宋体"/>
        <family val="3"/>
        <charset val="134"/>
      </rPr>
      <t>国有控股公司股利、股息收入</t>
    </r>
  </si>
  <si>
    <r>
      <rPr>
        <sz val="10"/>
        <rFont val="Times New Roman"/>
        <family val="1"/>
      </rPr>
      <t xml:space="preserve">          </t>
    </r>
    <r>
      <rPr>
        <sz val="10"/>
        <rFont val="宋体"/>
        <family val="3"/>
        <charset val="134"/>
      </rPr>
      <t>国有参股公司股利、股息收入</t>
    </r>
  </si>
  <si>
    <r>
      <rPr>
        <sz val="10"/>
        <rFont val="Times New Roman"/>
        <family val="1"/>
      </rPr>
      <t xml:space="preserve">          </t>
    </r>
    <r>
      <rPr>
        <sz val="10"/>
        <rFont val="宋体"/>
        <family val="3"/>
        <charset val="134"/>
      </rPr>
      <t>其他国有资本经营预算企业股利、股息收入</t>
    </r>
  </si>
  <si>
    <t xml:space="preserve">    其他国有股减持收入</t>
  </si>
  <si>
    <r>
      <rPr>
        <sz val="10"/>
        <rFont val="Times New Roman"/>
        <family val="1"/>
      </rPr>
      <t xml:space="preserve">          </t>
    </r>
    <r>
      <rPr>
        <sz val="10"/>
        <rFont val="宋体"/>
        <family val="3"/>
        <charset val="134"/>
      </rPr>
      <t>国有股权、股份转让收入</t>
    </r>
  </si>
  <si>
    <r>
      <rPr>
        <sz val="10"/>
        <rFont val="Times New Roman"/>
        <family val="1"/>
      </rPr>
      <t xml:space="preserve">          </t>
    </r>
    <r>
      <rPr>
        <sz val="10"/>
        <rFont val="宋体"/>
        <family val="3"/>
        <charset val="134"/>
      </rPr>
      <t>国有独资企业产权转让收入</t>
    </r>
  </si>
  <si>
    <r>
      <rPr>
        <sz val="10"/>
        <rFont val="Times New Roman"/>
        <family val="1"/>
      </rPr>
      <t xml:space="preserve">          </t>
    </r>
    <r>
      <rPr>
        <sz val="10"/>
        <rFont val="宋体"/>
        <family val="3"/>
        <charset val="134"/>
      </rPr>
      <t>其他国有资本经营预算企业产权转让收入</t>
    </r>
  </si>
  <si>
    <r>
      <rPr>
        <sz val="10"/>
        <rFont val="Times New Roman"/>
        <family val="1"/>
      </rPr>
      <t xml:space="preserve">         </t>
    </r>
    <r>
      <rPr>
        <sz val="10"/>
        <rFont val="宋体"/>
        <family val="3"/>
        <charset val="134"/>
      </rPr>
      <t>国有股权、股份清算收入</t>
    </r>
  </si>
  <si>
    <r>
      <rPr>
        <sz val="10"/>
        <rFont val="Times New Roman"/>
        <family val="1"/>
      </rPr>
      <t xml:space="preserve">         </t>
    </r>
    <r>
      <rPr>
        <sz val="10"/>
        <rFont val="宋体"/>
        <family val="3"/>
        <charset val="134"/>
      </rPr>
      <t>国有独资企业清算收入</t>
    </r>
  </si>
  <si>
    <r>
      <rPr>
        <sz val="10"/>
        <rFont val="Times New Roman"/>
        <family val="1"/>
      </rPr>
      <t xml:space="preserve">         </t>
    </r>
    <r>
      <rPr>
        <sz val="10"/>
        <rFont val="宋体"/>
        <family val="3"/>
        <charset val="134"/>
      </rPr>
      <t>其他国有资本经营预算企业清算收入</t>
    </r>
  </si>
  <si>
    <t>五、其他国有资本经营预算收入</t>
  </si>
  <si>
    <t>……</t>
  </si>
  <si>
    <r>
      <rPr>
        <b/>
        <sz val="10"/>
        <rFont val="Times New Roman"/>
        <family val="1"/>
      </rPr>
      <t xml:space="preserve"> </t>
    </r>
    <r>
      <rPr>
        <b/>
        <sz val="10"/>
        <rFont val="宋体"/>
        <family val="3"/>
        <charset val="134"/>
      </rPr>
      <t>合</t>
    </r>
    <r>
      <rPr>
        <b/>
        <sz val="10"/>
        <rFont val="Times New Roman"/>
        <family val="1"/>
      </rPr>
      <t xml:space="preserve">        </t>
    </r>
    <r>
      <rPr>
        <b/>
        <sz val="10"/>
        <rFont val="宋体"/>
        <family val="3"/>
        <charset val="134"/>
      </rPr>
      <t>计</t>
    </r>
  </si>
  <si>
    <t>科目名称（功能）</t>
  </si>
  <si>
    <t>小计</t>
  </si>
  <si>
    <t>资本性支出</t>
  </si>
  <si>
    <t>费用性支出</t>
  </si>
  <si>
    <t>一、补充社会保障基金支出</t>
  </si>
  <si>
    <t>二、解决历史遗留问题及改革成本支出</t>
  </si>
  <si>
    <t>三、国有企业资本金注入</t>
  </si>
  <si>
    <t>四、国有企业政策补贴</t>
  </si>
  <si>
    <t>五、其他国有资本经营预算支出</t>
  </si>
  <si>
    <t>其他国有资本经营预算支出</t>
  </si>
  <si>
    <t>六、国有资本经营预算调出资金</t>
  </si>
  <si>
    <r>
      <rPr>
        <b/>
        <sz val="10"/>
        <rFont val="宋体"/>
        <family val="3"/>
        <charset val="134"/>
      </rPr>
      <t>合</t>
    </r>
    <r>
      <rPr>
        <b/>
        <sz val="10"/>
        <rFont val="Times New Roman"/>
        <family val="1"/>
      </rPr>
      <t xml:space="preserve">      </t>
    </r>
    <r>
      <rPr>
        <b/>
        <sz val="10"/>
        <rFont val="宋体"/>
        <family val="3"/>
        <charset val="134"/>
      </rPr>
      <t>计</t>
    </r>
  </si>
  <si>
    <t>本年收入</t>
  </si>
  <si>
    <t>本年支出</t>
  </si>
  <si>
    <t>项         目</t>
  </si>
  <si>
    <t>2018年预计执行数</t>
  </si>
  <si>
    <t>项       目</t>
  </si>
  <si>
    <t>一、基本养老保险费收入</t>
  </si>
  <si>
    <t>一、基本养老金支出</t>
  </si>
  <si>
    <t>二、利息收入</t>
  </si>
  <si>
    <t>二、医疗补助金支出</t>
  </si>
  <si>
    <t>三、财政补贴收入</t>
  </si>
  <si>
    <t>三、丧葬抚恤补助支出</t>
  </si>
  <si>
    <t>四、转移收入</t>
  </si>
  <si>
    <t>四、转移支出</t>
  </si>
  <si>
    <t>五、上级补助收入</t>
  </si>
  <si>
    <t>五、补助下级支出</t>
  </si>
  <si>
    <t>六、下级上解收入</t>
  </si>
  <si>
    <t>六、上解上级支出</t>
  </si>
  <si>
    <t>七、其他收入</t>
  </si>
  <si>
    <t>八、本年收入合计</t>
  </si>
  <si>
    <t>八、本年支出合计</t>
  </si>
  <si>
    <t>×</t>
  </si>
  <si>
    <t>九、本年收支结余</t>
  </si>
  <si>
    <t>九、上年结余</t>
  </si>
  <si>
    <t>十、年末滚存结余</t>
  </si>
  <si>
    <t>总        计</t>
  </si>
  <si>
    <t>二、转移支出</t>
  </si>
  <si>
    <t>三、补助下级支出</t>
  </si>
  <si>
    <t>四、上解上级支出</t>
  </si>
  <si>
    <t>五、其他支出</t>
  </si>
  <si>
    <t>六、本年支出合计</t>
  </si>
  <si>
    <t>七、本年收支结余</t>
  </si>
  <si>
    <t>八、年末滚存结余</t>
  </si>
  <si>
    <r>
      <rPr>
        <b/>
        <sz val="11"/>
        <color indexed="8"/>
        <rFont val="宋体"/>
        <family val="3"/>
        <charset val="134"/>
      </rPr>
      <t>201</t>
    </r>
    <r>
      <rPr>
        <b/>
        <sz val="11"/>
        <color indexed="8"/>
        <rFont val="宋体"/>
        <family val="3"/>
        <charset val="134"/>
      </rPr>
      <t>8</t>
    </r>
    <r>
      <rPr>
        <b/>
        <sz val="11"/>
        <color indexed="8"/>
        <rFont val="宋体"/>
        <family val="3"/>
        <charset val="134"/>
      </rPr>
      <t>年预计执行数</t>
    </r>
  </si>
  <si>
    <r>
      <rPr>
        <b/>
        <sz val="11"/>
        <color indexed="8"/>
        <rFont val="宋体"/>
        <family val="3"/>
        <charset val="134"/>
      </rPr>
      <t>201</t>
    </r>
    <r>
      <rPr>
        <b/>
        <sz val="11"/>
        <color indexed="8"/>
        <rFont val="宋体"/>
        <family val="3"/>
        <charset val="134"/>
      </rPr>
      <t>9</t>
    </r>
    <r>
      <rPr>
        <b/>
        <sz val="11"/>
        <color indexed="8"/>
        <rFont val="宋体"/>
        <family val="3"/>
        <charset val="134"/>
      </rPr>
      <t>年预算数</t>
    </r>
  </si>
  <si>
    <t>项           目</t>
  </si>
  <si>
    <t>一、失业保险费收入</t>
  </si>
  <si>
    <t>一、失业保险金支出</t>
  </si>
  <si>
    <t>四、职业培训补贴支出</t>
  </si>
  <si>
    <t>五、职业介绍补贴支出</t>
  </si>
  <si>
    <t>六、其他费用支出</t>
  </si>
  <si>
    <t>七、转移支出</t>
  </si>
  <si>
    <t>八、补助下级支出</t>
  </si>
  <si>
    <t>九、上解上级支出</t>
  </si>
  <si>
    <t>十、其他支出</t>
  </si>
  <si>
    <t>十一、本年支出合计</t>
  </si>
  <si>
    <t>十二、本年收支结余</t>
  </si>
  <si>
    <t>十三、年末滚存结余</t>
  </si>
  <si>
    <t>项    目</t>
  </si>
  <si>
    <t>医疗保险统筹基金</t>
  </si>
  <si>
    <t>医疗保险个人账户基金</t>
  </si>
  <si>
    <t>一、基本医疗保险费收入</t>
  </si>
  <si>
    <t>一、基本医疗保险待遇支出</t>
  </si>
  <si>
    <t>二、其他支出</t>
  </si>
  <si>
    <t>三、转移支出</t>
  </si>
  <si>
    <t>四、其他收入</t>
  </si>
  <si>
    <t>四、补助下级支出</t>
  </si>
  <si>
    <t>五、转移收入</t>
  </si>
  <si>
    <t>五、上解上级支出</t>
  </si>
  <si>
    <t>六、上级补助收入</t>
  </si>
  <si>
    <t>七、下级上解收入</t>
  </si>
  <si>
    <t>总   计</t>
  </si>
  <si>
    <t>总    计</t>
  </si>
  <si>
    <t>一、工伤保险费收入</t>
  </si>
  <si>
    <t>一、工伤保险待遇支出</t>
  </si>
  <si>
    <t>二、劳动能力鉴定支出</t>
  </si>
  <si>
    <t>三、工伤预防费用支出</t>
  </si>
  <si>
    <t>五、其他收入</t>
  </si>
  <si>
    <t>六、补助下级支出</t>
  </si>
  <si>
    <t>七、上解上级支出</t>
  </si>
  <si>
    <t>十、上年结余</t>
  </si>
  <si>
    <t>一、生育保险费收入</t>
  </si>
  <si>
    <t>一、医疗费用支出</t>
  </si>
  <si>
    <t>二、生育津贴支出</t>
  </si>
  <si>
    <t>四、其他支出</t>
  </si>
  <si>
    <t>七、本年支出合计</t>
  </si>
  <si>
    <t>八、本年收支结余</t>
  </si>
  <si>
    <t>九、年末滚存结余</t>
  </si>
  <si>
    <r>
      <rPr>
        <sz val="18"/>
        <rFont val="Times New Roman"/>
        <family val="1"/>
      </rPr>
      <t>2019</t>
    </r>
    <r>
      <rPr>
        <sz val="18"/>
        <rFont val="宋体"/>
        <family val="3"/>
        <charset val="134"/>
      </rPr>
      <t>年市对区税收返还和转移支付表</t>
    </r>
  </si>
  <si>
    <r>
      <rPr>
        <sz val="11"/>
        <rFont val="宋体"/>
        <family val="3"/>
        <charset val="134"/>
      </rPr>
      <t>项目</t>
    </r>
  </si>
  <si>
    <r>
      <rPr>
        <sz val="11"/>
        <rFont val="宋体"/>
        <family val="3"/>
        <charset val="134"/>
      </rPr>
      <t>预算数</t>
    </r>
  </si>
  <si>
    <t>备注</t>
  </si>
  <si>
    <r>
      <rPr>
        <b/>
        <sz val="11"/>
        <rFont val="宋体"/>
        <family val="3"/>
        <charset val="134"/>
      </rPr>
      <t>合计</t>
    </r>
  </si>
  <si>
    <t>一、市对区税收返还</t>
  </si>
  <si>
    <t>中央和省税收返还，省直接分配到各区。</t>
  </si>
  <si>
    <r>
      <rPr>
        <sz val="11"/>
        <rFont val="宋体"/>
        <family val="3"/>
        <charset val="134"/>
      </rPr>
      <t>增值税（含营改增）基数返还</t>
    </r>
  </si>
  <si>
    <r>
      <rPr>
        <sz val="11"/>
        <rFont val="宋体"/>
        <family val="3"/>
        <charset val="134"/>
      </rPr>
      <t>消费税基数返还</t>
    </r>
  </si>
  <si>
    <r>
      <rPr>
        <sz val="11"/>
        <rFont val="宋体"/>
        <family val="3"/>
        <charset val="134"/>
      </rPr>
      <t>所得税基数返还</t>
    </r>
  </si>
  <si>
    <r>
      <rPr>
        <sz val="11"/>
        <rFont val="宋体"/>
        <family val="3"/>
        <charset val="134"/>
      </rPr>
      <t>成品油价格和税费改革返还</t>
    </r>
  </si>
  <si>
    <r>
      <rPr>
        <sz val="11"/>
        <rFont val="宋体"/>
        <family val="3"/>
        <charset val="134"/>
      </rPr>
      <t>其他税收返还</t>
    </r>
  </si>
  <si>
    <t>营改增体制调整税收返还</t>
  </si>
  <si>
    <t>二、市对区一般性转移支付</t>
  </si>
  <si>
    <t>市级财力安排</t>
  </si>
  <si>
    <t>三、市对区专项转移支付</t>
  </si>
  <si>
    <r>
      <rPr>
        <sz val="11"/>
        <rFont val="宋体"/>
        <family val="3"/>
        <charset val="134"/>
      </rPr>
      <t>一般公共服务</t>
    </r>
  </si>
  <si>
    <r>
      <rPr>
        <sz val="11"/>
        <rFont val="宋体"/>
        <family val="3"/>
        <charset val="134"/>
      </rPr>
      <t>外交</t>
    </r>
  </si>
  <si>
    <r>
      <rPr>
        <sz val="11"/>
        <rFont val="宋体"/>
        <family val="3"/>
        <charset val="134"/>
      </rPr>
      <t>国防</t>
    </r>
  </si>
  <si>
    <r>
      <rPr>
        <sz val="11"/>
        <rFont val="宋体"/>
        <family val="3"/>
        <charset val="134"/>
      </rPr>
      <t>公共安全</t>
    </r>
  </si>
  <si>
    <r>
      <rPr>
        <sz val="11"/>
        <rFont val="宋体"/>
        <family val="3"/>
        <charset val="134"/>
      </rPr>
      <t>教育</t>
    </r>
  </si>
  <si>
    <r>
      <rPr>
        <sz val="11"/>
        <rFont val="宋体"/>
        <family val="3"/>
        <charset val="134"/>
      </rPr>
      <t>科学技术</t>
    </r>
  </si>
  <si>
    <r>
      <rPr>
        <sz val="11"/>
        <rFont val="宋体"/>
        <family val="3"/>
        <charset val="134"/>
      </rPr>
      <t>文化体育与传媒</t>
    </r>
  </si>
  <si>
    <r>
      <rPr>
        <sz val="11"/>
        <rFont val="宋体"/>
        <family val="3"/>
        <charset val="134"/>
      </rPr>
      <t>社会保障和就业</t>
    </r>
  </si>
  <si>
    <r>
      <rPr>
        <sz val="11"/>
        <rFont val="宋体"/>
        <family val="3"/>
        <charset val="134"/>
      </rPr>
      <t>医疗卫生</t>
    </r>
  </si>
  <si>
    <r>
      <rPr>
        <sz val="11"/>
        <rFont val="宋体"/>
        <family val="3"/>
        <charset val="134"/>
      </rPr>
      <t>节能环保</t>
    </r>
  </si>
  <si>
    <r>
      <rPr>
        <sz val="11"/>
        <rFont val="宋体"/>
        <family val="3"/>
        <charset val="134"/>
      </rPr>
      <t>城乡社区</t>
    </r>
  </si>
  <si>
    <r>
      <rPr>
        <sz val="11"/>
        <rFont val="宋体"/>
        <family val="3"/>
        <charset val="134"/>
      </rPr>
      <t>农林水</t>
    </r>
  </si>
  <si>
    <r>
      <rPr>
        <sz val="11"/>
        <rFont val="宋体"/>
        <family val="3"/>
        <charset val="134"/>
      </rPr>
      <t>交通运输</t>
    </r>
  </si>
  <si>
    <r>
      <rPr>
        <sz val="11"/>
        <rFont val="宋体"/>
        <family val="3"/>
        <charset val="134"/>
      </rPr>
      <t>资源勘探电力信息等</t>
    </r>
  </si>
  <si>
    <r>
      <rPr>
        <sz val="11"/>
        <rFont val="宋体"/>
        <family val="3"/>
        <charset val="134"/>
      </rPr>
      <t>商业服务业</t>
    </r>
  </si>
  <si>
    <r>
      <rPr>
        <sz val="11"/>
        <rFont val="宋体"/>
        <family val="3"/>
        <charset val="134"/>
      </rPr>
      <t>金融</t>
    </r>
  </si>
  <si>
    <r>
      <rPr>
        <sz val="11"/>
        <rFont val="宋体"/>
        <family val="3"/>
        <charset val="134"/>
      </rPr>
      <t>国土海洋气象等</t>
    </r>
  </si>
  <si>
    <r>
      <rPr>
        <sz val="11"/>
        <rFont val="宋体"/>
        <family val="3"/>
        <charset val="134"/>
      </rPr>
      <t>住房保障</t>
    </r>
  </si>
  <si>
    <r>
      <rPr>
        <sz val="11"/>
        <rFont val="宋体"/>
        <family val="3"/>
        <charset val="134"/>
      </rPr>
      <t>粮油物资储备</t>
    </r>
  </si>
  <si>
    <t>地区</t>
  </si>
  <si>
    <t>赫山区</t>
  </si>
  <si>
    <t>资阳区</t>
  </si>
  <si>
    <t>高新区</t>
  </si>
  <si>
    <t>大通湖区</t>
  </si>
  <si>
    <t>专项转移支付支出合计</t>
  </si>
  <si>
    <t>项目名称</t>
  </si>
  <si>
    <t>一、教育</t>
  </si>
  <si>
    <r>
      <rPr>
        <sz val="12"/>
        <rFont val="Times New Roman"/>
        <family val="1"/>
      </rPr>
      <t>1</t>
    </r>
    <r>
      <rPr>
        <sz val="12"/>
        <color indexed="8"/>
        <rFont val="宋体"/>
        <family val="3"/>
        <charset val="134"/>
      </rPr>
      <t>、学前教育</t>
    </r>
  </si>
  <si>
    <r>
      <rPr>
        <sz val="12"/>
        <color indexed="8"/>
        <rFont val="宋体"/>
        <family val="3"/>
        <charset val="134"/>
      </rPr>
      <t>（1）家庭经济困难幼儿入园市级配套资金</t>
    </r>
  </si>
  <si>
    <r>
      <rPr>
        <sz val="12"/>
        <color indexed="8"/>
        <rFont val="宋体"/>
        <family val="3"/>
        <charset val="134"/>
      </rPr>
      <t>（</t>
    </r>
    <r>
      <rPr>
        <sz val="12"/>
        <color indexed="8"/>
        <rFont val="Times New Roman"/>
        <family val="1"/>
      </rPr>
      <t>2</t>
    </r>
    <r>
      <rPr>
        <sz val="12"/>
        <color indexed="8"/>
        <rFont val="宋体"/>
        <family val="3"/>
        <charset val="134"/>
      </rPr>
      <t>）市直国有企业职教幼教退休教师补贴</t>
    </r>
  </si>
  <si>
    <r>
      <rPr>
        <sz val="12"/>
        <rFont val="Times New Roman"/>
        <family val="1"/>
      </rPr>
      <t>2</t>
    </r>
    <r>
      <rPr>
        <sz val="12"/>
        <color indexed="8"/>
        <rFont val="宋体"/>
        <family val="3"/>
        <charset val="134"/>
      </rPr>
      <t>、义务教育</t>
    </r>
  </si>
  <si>
    <r>
      <rPr>
        <sz val="12"/>
        <color indexed="8"/>
        <rFont val="宋体"/>
        <family val="3"/>
        <charset val="134"/>
      </rPr>
      <t>（</t>
    </r>
    <r>
      <rPr>
        <sz val="12"/>
        <color indexed="8"/>
        <rFont val="Times New Roman"/>
        <family val="1"/>
      </rPr>
      <t>1</t>
    </r>
    <r>
      <rPr>
        <sz val="12"/>
        <color indexed="8"/>
        <rFont val="宋体"/>
        <family val="3"/>
        <charset val="134"/>
      </rPr>
      <t>）城乡义务教育公用经费保障机制市级配套经费</t>
    </r>
  </si>
  <si>
    <r>
      <rPr>
        <sz val="12"/>
        <color indexed="8"/>
        <rFont val="宋体"/>
        <family val="3"/>
        <charset val="134"/>
      </rPr>
      <t>（</t>
    </r>
    <r>
      <rPr>
        <sz val="12"/>
        <color indexed="8"/>
        <rFont val="Times New Roman"/>
        <family val="1"/>
      </rPr>
      <t>2</t>
    </r>
    <r>
      <rPr>
        <sz val="12"/>
        <color indexed="8"/>
        <rFont val="宋体"/>
        <family val="3"/>
        <charset val="134"/>
      </rPr>
      <t>）农村义务教育阶段中小学校舍维修改造资金</t>
    </r>
  </si>
  <si>
    <r>
      <rPr>
        <sz val="12"/>
        <color indexed="8"/>
        <rFont val="宋体"/>
        <family val="3"/>
        <charset val="134"/>
      </rPr>
      <t>（</t>
    </r>
    <r>
      <rPr>
        <sz val="12"/>
        <color indexed="8"/>
        <rFont val="Times New Roman"/>
        <family val="1"/>
      </rPr>
      <t>3</t>
    </r>
    <r>
      <rPr>
        <sz val="12"/>
        <color indexed="8"/>
        <rFont val="宋体"/>
        <family val="3"/>
        <charset val="134"/>
      </rPr>
      <t>）农村寄宿生生活补助</t>
    </r>
  </si>
  <si>
    <t>（4）义务、普高教育建档立卡免费教辅</t>
  </si>
  <si>
    <r>
      <rPr>
        <sz val="12"/>
        <rFont val="Times New Roman"/>
        <family val="1"/>
      </rPr>
      <t>3</t>
    </r>
    <r>
      <rPr>
        <sz val="12"/>
        <color indexed="8"/>
        <rFont val="宋体"/>
        <family val="3"/>
        <charset val="134"/>
      </rPr>
      <t>、高中教育</t>
    </r>
  </si>
  <si>
    <r>
      <rPr>
        <sz val="12"/>
        <color indexed="8"/>
        <rFont val="宋体"/>
        <family val="3"/>
        <charset val="134"/>
      </rPr>
      <t>（</t>
    </r>
    <r>
      <rPr>
        <sz val="12"/>
        <color indexed="8"/>
        <rFont val="Times New Roman"/>
        <family val="1"/>
      </rPr>
      <t>1</t>
    </r>
    <r>
      <rPr>
        <sz val="12"/>
        <color indexed="8"/>
        <rFont val="宋体"/>
        <family val="3"/>
        <charset val="134"/>
      </rPr>
      <t>）公办普通高中生均公用经费市级配套</t>
    </r>
  </si>
  <si>
    <r>
      <rPr>
        <sz val="12"/>
        <color indexed="8"/>
        <rFont val="宋体"/>
        <family val="3"/>
        <charset val="134"/>
      </rPr>
      <t>（</t>
    </r>
    <r>
      <rPr>
        <sz val="12"/>
        <color indexed="8"/>
        <rFont val="Times New Roman"/>
        <family val="1"/>
      </rPr>
      <t>2</t>
    </r>
    <r>
      <rPr>
        <sz val="12"/>
        <color indexed="8"/>
        <rFont val="宋体"/>
        <family val="3"/>
        <charset val="134"/>
      </rPr>
      <t>）普通高中助学金</t>
    </r>
  </si>
  <si>
    <r>
      <rPr>
        <sz val="12"/>
        <color indexed="8"/>
        <rFont val="宋体"/>
        <family val="3"/>
        <charset val="134"/>
      </rPr>
      <t>（</t>
    </r>
    <r>
      <rPr>
        <sz val="12"/>
        <color indexed="8"/>
        <rFont val="Times New Roman"/>
        <family val="1"/>
      </rPr>
      <t>3</t>
    </r>
    <r>
      <rPr>
        <sz val="12"/>
        <color indexed="8"/>
        <rFont val="宋体"/>
        <family val="3"/>
        <charset val="134"/>
      </rPr>
      <t>）普通高中建档立卡学生免学费配套资金</t>
    </r>
  </si>
  <si>
    <r>
      <rPr>
        <sz val="12"/>
        <rFont val="Times New Roman"/>
        <family val="1"/>
      </rPr>
      <t>4</t>
    </r>
    <r>
      <rPr>
        <sz val="12"/>
        <color indexed="8"/>
        <rFont val="宋体"/>
        <family val="3"/>
        <charset val="134"/>
      </rPr>
      <t>、职业教育</t>
    </r>
  </si>
  <si>
    <r>
      <rPr>
        <sz val="12"/>
        <color indexed="8"/>
        <rFont val="宋体"/>
        <family val="3"/>
        <charset val="134"/>
      </rPr>
      <t>（</t>
    </r>
    <r>
      <rPr>
        <sz val="12"/>
        <color indexed="8"/>
        <rFont val="Times New Roman"/>
        <family val="1"/>
      </rPr>
      <t>1</t>
    </r>
    <r>
      <rPr>
        <sz val="12"/>
        <color indexed="8"/>
        <rFont val="宋体"/>
        <family val="3"/>
        <charset val="134"/>
      </rPr>
      <t>）中等职业教育助学金</t>
    </r>
  </si>
  <si>
    <r>
      <rPr>
        <sz val="12"/>
        <color indexed="8"/>
        <rFont val="宋体"/>
        <family val="3"/>
        <charset val="134"/>
      </rPr>
      <t>（</t>
    </r>
    <r>
      <rPr>
        <sz val="12"/>
        <color indexed="8"/>
        <rFont val="Times New Roman"/>
        <family val="1"/>
      </rPr>
      <t>2</t>
    </r>
    <r>
      <rPr>
        <sz val="12"/>
        <color indexed="8"/>
        <rFont val="宋体"/>
        <family val="3"/>
        <charset val="134"/>
      </rPr>
      <t>）农村中等职业教育发展经费</t>
    </r>
  </si>
  <si>
    <r>
      <rPr>
        <sz val="12"/>
        <rFont val="宋体"/>
        <family val="3"/>
        <charset val="134"/>
      </rPr>
      <t>（</t>
    </r>
    <r>
      <rPr>
        <sz val="12"/>
        <rFont val="Times New Roman"/>
        <family val="1"/>
      </rPr>
      <t>3</t>
    </r>
    <r>
      <rPr>
        <sz val="12"/>
        <rFont val="宋体"/>
        <family val="3"/>
        <charset val="134"/>
      </rPr>
      <t>）公办高职院校生均财政拨款补助</t>
    </r>
  </si>
  <si>
    <r>
      <rPr>
        <sz val="12"/>
        <color indexed="8"/>
        <rFont val="宋体"/>
        <family val="3"/>
        <charset val="134"/>
      </rPr>
      <t>（</t>
    </r>
    <r>
      <rPr>
        <sz val="12"/>
        <color indexed="8"/>
        <rFont val="Times New Roman"/>
        <family val="1"/>
      </rPr>
      <t>4</t>
    </r>
    <r>
      <rPr>
        <sz val="12"/>
        <color indexed="8"/>
        <rFont val="宋体"/>
        <family val="3"/>
        <charset val="134"/>
      </rPr>
      <t>）中职免学费市级配套资金</t>
    </r>
  </si>
  <si>
    <r>
      <rPr>
        <sz val="12"/>
        <rFont val="Times New Roman"/>
        <family val="1"/>
      </rPr>
      <t>5</t>
    </r>
    <r>
      <rPr>
        <sz val="12"/>
        <color indexed="8"/>
        <rFont val="宋体"/>
        <family val="3"/>
        <charset val="134"/>
      </rPr>
      <t>、高等教育</t>
    </r>
  </si>
  <si>
    <r>
      <rPr>
        <sz val="12"/>
        <color indexed="8"/>
        <rFont val="宋体"/>
        <family val="3"/>
        <charset val="134"/>
      </rPr>
      <t>（</t>
    </r>
    <r>
      <rPr>
        <sz val="12"/>
        <color indexed="8"/>
        <rFont val="Times New Roman"/>
        <family val="1"/>
      </rPr>
      <t>1</t>
    </r>
    <r>
      <rPr>
        <sz val="12"/>
        <color indexed="8"/>
        <rFont val="宋体"/>
        <family val="3"/>
        <charset val="134"/>
      </rPr>
      <t>）高校奖助学金配套资金</t>
    </r>
  </si>
  <si>
    <r>
      <rPr>
        <sz val="12"/>
        <color indexed="8"/>
        <rFont val="宋体"/>
        <family val="3"/>
        <charset val="134"/>
      </rPr>
      <t>（</t>
    </r>
    <r>
      <rPr>
        <sz val="12"/>
        <color indexed="8"/>
        <rFont val="Times New Roman"/>
        <family val="1"/>
      </rPr>
      <t>2</t>
    </r>
    <r>
      <rPr>
        <sz val="12"/>
        <color indexed="8"/>
        <rFont val="宋体"/>
        <family val="3"/>
        <charset val="134"/>
      </rPr>
      <t>）生源地贷款</t>
    </r>
  </si>
  <si>
    <t>（3）电大省级示范性教师培训机构创建经费</t>
  </si>
  <si>
    <t>（4）终身教育专项经费</t>
  </si>
  <si>
    <r>
      <rPr>
        <sz val="12"/>
        <rFont val="Times New Roman"/>
        <family val="1"/>
      </rPr>
      <t>6</t>
    </r>
    <r>
      <rPr>
        <sz val="12"/>
        <color indexed="8"/>
        <rFont val="宋体"/>
        <family val="3"/>
        <charset val="134"/>
      </rPr>
      <t>、教师培训培养经费</t>
    </r>
  </si>
  <si>
    <r>
      <rPr>
        <sz val="12"/>
        <color indexed="8"/>
        <rFont val="宋体"/>
        <family val="3"/>
        <charset val="134"/>
      </rPr>
      <t>（</t>
    </r>
    <r>
      <rPr>
        <sz val="12"/>
        <color indexed="8"/>
        <rFont val="Times New Roman"/>
        <family val="1"/>
      </rPr>
      <t>1</t>
    </r>
    <r>
      <rPr>
        <sz val="12"/>
        <color indexed="8"/>
        <rFont val="宋体"/>
        <family val="3"/>
        <charset val="134"/>
      </rPr>
      <t>）农村中小学教师免费定向培养市级计划培养经费</t>
    </r>
  </si>
  <si>
    <r>
      <rPr>
        <sz val="12"/>
        <rFont val="Times New Roman"/>
        <family val="1"/>
      </rPr>
      <t>7</t>
    </r>
    <r>
      <rPr>
        <sz val="12"/>
        <color indexed="8"/>
        <rFont val="宋体"/>
        <family val="3"/>
        <charset val="134"/>
      </rPr>
      <t>、其他教育专项经费</t>
    </r>
  </si>
  <si>
    <r>
      <rPr>
        <sz val="12"/>
        <color indexed="8"/>
        <rFont val="宋体"/>
        <family val="3"/>
        <charset val="134"/>
      </rPr>
      <t>（</t>
    </r>
    <r>
      <rPr>
        <sz val="12"/>
        <color indexed="8"/>
        <rFont val="Times New Roman"/>
        <family val="1"/>
      </rPr>
      <t>1</t>
    </r>
    <r>
      <rPr>
        <sz val="12"/>
        <color indexed="8"/>
        <rFont val="宋体"/>
        <family val="3"/>
        <charset val="134"/>
      </rPr>
      <t>）合格学校建设资金</t>
    </r>
  </si>
  <si>
    <r>
      <rPr>
        <sz val="12"/>
        <color indexed="8"/>
        <rFont val="宋体"/>
        <family val="3"/>
        <charset val="134"/>
      </rPr>
      <t>（</t>
    </r>
    <r>
      <rPr>
        <sz val="12"/>
        <color indexed="8"/>
        <rFont val="Times New Roman"/>
        <family val="1"/>
      </rPr>
      <t>2</t>
    </r>
    <r>
      <rPr>
        <sz val="12"/>
        <color indexed="8"/>
        <rFont val="宋体"/>
        <family val="3"/>
        <charset val="134"/>
      </rPr>
      <t>）中心城区校园足球发展专项资金</t>
    </r>
  </si>
  <si>
    <t>（3）教育强市建设经费</t>
  </si>
  <si>
    <t>（4）教育强县奖励资金</t>
  </si>
  <si>
    <t>（5）益阳市教育突出贡献奖励金</t>
  </si>
  <si>
    <t>（6）中招工作专项经费</t>
  </si>
  <si>
    <t>二、科技支出</t>
  </si>
  <si>
    <t>（一）科普经费</t>
  </si>
  <si>
    <t>（二）科技专项支出</t>
  </si>
  <si>
    <r>
      <rPr>
        <sz val="12"/>
        <rFont val="Times New Roman"/>
        <family val="1"/>
      </rPr>
      <t>1</t>
    </r>
    <r>
      <rPr>
        <sz val="12"/>
        <rFont val="宋体"/>
        <family val="3"/>
        <charset val="134"/>
      </rPr>
      <t>、科技工作经费支出</t>
    </r>
  </si>
  <si>
    <t>2、科技计划专项资金和科技成果转化基金</t>
  </si>
  <si>
    <t>3、科技成果转化奖励</t>
  </si>
  <si>
    <t>三、文化体育与传媒</t>
  </si>
  <si>
    <r>
      <rPr>
        <sz val="12"/>
        <rFont val="Times New Roman"/>
        <family val="1"/>
      </rPr>
      <t>1</t>
    </r>
    <r>
      <rPr>
        <sz val="12"/>
        <color indexed="8"/>
        <rFont val="宋体"/>
        <family val="3"/>
        <charset val="134"/>
      </rPr>
      <t>、送戏下乡、演艺惠民活动经费及周末广场电影</t>
    </r>
  </si>
  <si>
    <r>
      <rPr>
        <sz val="12"/>
        <rFont val="Times New Roman"/>
        <family val="1"/>
      </rPr>
      <t>2</t>
    </r>
    <r>
      <rPr>
        <sz val="12"/>
        <color indexed="8"/>
        <rFont val="宋体"/>
        <family val="3"/>
        <charset val="134"/>
      </rPr>
      <t>、民办博物馆免费开放补助资金</t>
    </r>
  </si>
  <si>
    <r>
      <rPr>
        <sz val="12"/>
        <rFont val="Times New Roman"/>
        <family val="1"/>
      </rPr>
      <t>3</t>
    </r>
    <r>
      <rPr>
        <sz val="12"/>
        <color indexed="8"/>
        <rFont val="宋体"/>
        <family val="3"/>
        <charset val="134"/>
      </rPr>
      <t>、农村文化建设资金</t>
    </r>
  </si>
  <si>
    <t>四、社会保障与就业</t>
  </si>
  <si>
    <r>
      <rPr>
        <sz val="12"/>
        <rFont val="Times New Roman"/>
        <family val="1"/>
      </rPr>
      <t>1</t>
    </r>
    <r>
      <rPr>
        <sz val="12"/>
        <color indexed="8"/>
        <rFont val="宋体"/>
        <family val="3"/>
        <charset val="134"/>
      </rPr>
      <t>、市属国有企业改革社保补贴</t>
    </r>
  </si>
  <si>
    <r>
      <rPr>
        <sz val="12"/>
        <rFont val="Times New Roman"/>
        <family val="1"/>
      </rPr>
      <t xml:space="preserve">   </t>
    </r>
    <r>
      <rPr>
        <sz val="12"/>
        <rFont val="宋体"/>
        <family val="3"/>
        <charset val="134"/>
      </rPr>
      <t>其中：企业养老市级配套资金</t>
    </r>
  </si>
  <si>
    <r>
      <rPr>
        <sz val="12"/>
        <rFont val="Times New Roman"/>
        <family val="1"/>
      </rPr>
      <t>2</t>
    </r>
    <r>
      <rPr>
        <sz val="12"/>
        <color indexed="8"/>
        <rFont val="宋体"/>
        <family val="3"/>
        <charset val="134"/>
      </rPr>
      <t>、国有农垦企业职工养老保险补助</t>
    </r>
  </si>
  <si>
    <r>
      <rPr>
        <sz val="12"/>
        <rFont val="Times New Roman"/>
        <family val="1"/>
      </rPr>
      <t>3</t>
    </r>
    <r>
      <rPr>
        <sz val="12"/>
        <color indexed="8"/>
        <rFont val="宋体"/>
        <family val="3"/>
        <charset val="134"/>
      </rPr>
      <t>、市本级企业军转干部解困资金</t>
    </r>
  </si>
  <si>
    <r>
      <rPr>
        <sz val="12"/>
        <rFont val="Times New Roman"/>
        <family val="1"/>
      </rPr>
      <t>4</t>
    </r>
    <r>
      <rPr>
        <sz val="12"/>
        <color indexed="8"/>
        <rFont val="宋体"/>
        <family val="3"/>
        <charset val="134"/>
      </rPr>
      <t>、企业离休干部相关支出</t>
    </r>
  </si>
  <si>
    <r>
      <rPr>
        <sz val="12"/>
        <rFont val="Times New Roman"/>
        <family val="1"/>
      </rPr>
      <t>5</t>
    </r>
    <r>
      <rPr>
        <sz val="12"/>
        <color indexed="8"/>
        <rFont val="宋体"/>
        <family val="3"/>
        <charset val="134"/>
      </rPr>
      <t>、</t>
    </r>
    <r>
      <rPr>
        <sz val="12"/>
        <color indexed="8"/>
        <rFont val="Times New Roman"/>
        <family val="1"/>
      </rPr>
      <t>1953</t>
    </r>
    <r>
      <rPr>
        <sz val="12"/>
        <color indexed="8"/>
        <rFont val="宋体"/>
        <family val="3"/>
        <charset val="134"/>
      </rPr>
      <t>年前参军企业退休人员生活困难补助</t>
    </r>
  </si>
  <si>
    <r>
      <rPr>
        <sz val="12"/>
        <rFont val="Times New Roman"/>
        <family val="1"/>
      </rPr>
      <t>6</t>
    </r>
    <r>
      <rPr>
        <sz val="12"/>
        <color indexed="8"/>
        <rFont val="宋体"/>
        <family val="3"/>
        <charset val="134"/>
      </rPr>
      <t>、市直建国初期参加工作的企业退休干部增发生活补贴</t>
    </r>
  </si>
  <si>
    <r>
      <rPr>
        <sz val="12"/>
        <rFont val="Times New Roman"/>
        <family val="1"/>
      </rPr>
      <t>7</t>
    </r>
    <r>
      <rPr>
        <sz val="12"/>
        <color indexed="8"/>
        <rFont val="宋体"/>
        <family val="3"/>
        <charset val="134"/>
      </rPr>
      <t>、</t>
    </r>
    <r>
      <rPr>
        <sz val="12"/>
        <color indexed="8"/>
        <rFont val="Times New Roman"/>
        <family val="1"/>
      </rPr>
      <t>60</t>
    </r>
    <r>
      <rPr>
        <sz val="12"/>
        <color indexed="8"/>
        <rFont val="宋体"/>
        <family val="3"/>
        <charset val="134"/>
      </rPr>
      <t>年代精减退职老职工生活救济</t>
    </r>
  </si>
  <si>
    <r>
      <rPr>
        <sz val="12"/>
        <rFont val="Times New Roman"/>
        <family val="1"/>
      </rPr>
      <t>8</t>
    </r>
    <r>
      <rPr>
        <sz val="12"/>
        <color indexed="8"/>
        <rFont val="宋体"/>
        <family val="3"/>
        <charset val="134"/>
      </rPr>
      <t>、建国前老工人补贴（企业养老保险处代发）</t>
    </r>
  </si>
  <si>
    <t>9、城乡特困人员生活费与护理费</t>
  </si>
  <si>
    <r>
      <rPr>
        <sz val="12"/>
        <rFont val="Times New Roman"/>
        <family val="1"/>
      </rPr>
      <t>10</t>
    </r>
    <r>
      <rPr>
        <sz val="12"/>
        <color indexed="8"/>
        <rFont val="宋体"/>
        <family val="3"/>
        <charset val="134"/>
      </rPr>
      <t>、低收入群体临时价格补贴</t>
    </r>
  </si>
  <si>
    <r>
      <rPr>
        <sz val="12"/>
        <rFont val="Times New Roman"/>
        <family val="1"/>
      </rPr>
      <t>11</t>
    </r>
    <r>
      <rPr>
        <sz val="12"/>
        <color indexed="8"/>
        <rFont val="宋体"/>
        <family val="3"/>
        <charset val="134"/>
      </rPr>
      <t>、市级城乡低保补助资金</t>
    </r>
  </si>
  <si>
    <r>
      <rPr>
        <sz val="12"/>
        <rFont val="Times New Roman"/>
        <family val="1"/>
      </rPr>
      <t>12</t>
    </r>
    <r>
      <rPr>
        <sz val="12"/>
        <color indexed="8"/>
        <rFont val="宋体"/>
        <family val="3"/>
        <charset val="134"/>
      </rPr>
      <t>、城乡义务兵家庭优待金</t>
    </r>
  </si>
  <si>
    <r>
      <rPr>
        <sz val="12"/>
        <rFont val="Times New Roman"/>
        <family val="1"/>
      </rPr>
      <t>13</t>
    </r>
    <r>
      <rPr>
        <sz val="12"/>
        <color indexed="8"/>
        <rFont val="宋体"/>
        <family val="3"/>
        <charset val="134"/>
      </rPr>
      <t>、城乡居民养老保险配套</t>
    </r>
  </si>
  <si>
    <r>
      <rPr>
        <sz val="12"/>
        <rFont val="宋体"/>
        <family val="3"/>
        <charset val="134"/>
      </rPr>
      <t>（</t>
    </r>
    <r>
      <rPr>
        <sz val="12"/>
        <rFont val="Times New Roman"/>
        <family val="1"/>
      </rPr>
      <t>1</t>
    </r>
    <r>
      <rPr>
        <sz val="12"/>
        <rFont val="宋体"/>
        <family val="3"/>
        <charset val="134"/>
      </rPr>
      <t>）城乡居民养老保险基础养老金补助配套</t>
    </r>
  </si>
  <si>
    <t>（2）城乡居民养老保险缴费补助配套</t>
  </si>
  <si>
    <r>
      <rPr>
        <sz val="12"/>
        <rFont val="Times New Roman"/>
        <family val="1"/>
      </rPr>
      <t>14</t>
    </r>
    <r>
      <rPr>
        <sz val="12"/>
        <color indexed="8"/>
        <rFont val="宋体"/>
        <family val="3"/>
        <charset val="134"/>
      </rPr>
      <t>、残疾人两项补贴（重度残疾人护理补贴困难残疾人生活补贴）</t>
    </r>
  </si>
  <si>
    <r>
      <rPr>
        <sz val="12"/>
        <rFont val="Times New Roman"/>
        <family val="1"/>
      </rPr>
      <t>15</t>
    </r>
    <r>
      <rPr>
        <sz val="12"/>
        <rFont val="宋体"/>
        <family val="3"/>
        <charset val="134"/>
      </rPr>
      <t>、特一等伤残军人生活补助护理费、在乡复退军人生活补助（优抚对象抚恤经费（含特一等伤残军人生活补助护理费、在乡复退军人生活补助、带病回乡退伍军人补助、参战涉核退役人员补助等））</t>
    </r>
  </si>
  <si>
    <r>
      <rPr>
        <sz val="12"/>
        <rFont val="Times New Roman"/>
        <family val="1"/>
      </rPr>
      <t>16</t>
    </r>
    <r>
      <rPr>
        <sz val="12"/>
        <color indexed="8"/>
        <rFont val="宋体"/>
        <family val="3"/>
        <charset val="134"/>
      </rPr>
      <t>、孤儿基本生活补助</t>
    </r>
  </si>
  <si>
    <r>
      <rPr>
        <sz val="12"/>
        <rFont val="Times New Roman"/>
        <family val="1"/>
      </rPr>
      <t>17</t>
    </r>
    <r>
      <rPr>
        <sz val="12"/>
        <color indexed="8"/>
        <rFont val="宋体"/>
        <family val="3"/>
        <charset val="134"/>
      </rPr>
      <t>、春节慰问经费</t>
    </r>
  </si>
  <si>
    <r>
      <rPr>
        <sz val="12"/>
        <rFont val="Times New Roman"/>
        <family val="1"/>
      </rPr>
      <t>18</t>
    </r>
    <r>
      <rPr>
        <sz val="12"/>
        <color indexed="8"/>
        <rFont val="宋体"/>
        <family val="3"/>
        <charset val="134"/>
      </rPr>
      <t>、穆斯林群众肉食补贴</t>
    </r>
  </si>
  <si>
    <r>
      <rPr>
        <sz val="12"/>
        <rFont val="Times New Roman"/>
        <family val="1"/>
      </rPr>
      <t>19</t>
    </r>
    <r>
      <rPr>
        <sz val="12"/>
        <color indexed="8"/>
        <rFont val="宋体"/>
        <family val="3"/>
        <charset val="134"/>
      </rPr>
      <t>、农民工工资应急周转金</t>
    </r>
  </si>
  <si>
    <r>
      <rPr>
        <sz val="12"/>
        <rFont val="Times New Roman"/>
        <family val="1"/>
      </rPr>
      <t>20</t>
    </r>
    <r>
      <rPr>
        <sz val="12"/>
        <color indexed="8"/>
        <rFont val="宋体"/>
        <family val="3"/>
        <charset val="134"/>
      </rPr>
      <t>、农村危房改造</t>
    </r>
  </si>
  <si>
    <r>
      <rPr>
        <sz val="12"/>
        <rFont val="Times New Roman"/>
        <family val="1"/>
      </rPr>
      <t>21</t>
    </r>
    <r>
      <rPr>
        <sz val="12"/>
        <color indexed="8"/>
        <rFont val="宋体"/>
        <family val="3"/>
        <charset val="134"/>
      </rPr>
      <t>、防灾减灾救灾及应急专项（含宣传培训、救灾物资存储管理、转运等）</t>
    </r>
  </si>
  <si>
    <r>
      <rPr>
        <sz val="12"/>
        <rFont val="Times New Roman"/>
        <family val="1"/>
      </rPr>
      <t>22</t>
    </r>
    <r>
      <rPr>
        <sz val="12"/>
        <color indexed="8"/>
        <rFont val="宋体"/>
        <family val="3"/>
        <charset val="134"/>
      </rPr>
      <t>、助保贷款财政贴息</t>
    </r>
  </si>
  <si>
    <r>
      <rPr>
        <sz val="12"/>
        <rFont val="Times New Roman"/>
        <family val="1"/>
      </rPr>
      <t>23</t>
    </r>
    <r>
      <rPr>
        <sz val="12"/>
        <color indexed="8"/>
        <rFont val="宋体"/>
        <family val="3"/>
        <charset val="134"/>
      </rPr>
      <t>、市级社会保障配套支出</t>
    </r>
  </si>
  <si>
    <t>五、医疗卫生与计划生育</t>
  </si>
  <si>
    <r>
      <rPr>
        <sz val="12"/>
        <rFont val="Times New Roman"/>
        <family val="1"/>
      </rPr>
      <t>1</t>
    </r>
    <r>
      <rPr>
        <sz val="12"/>
        <color indexed="8"/>
        <rFont val="宋体"/>
        <family val="3"/>
        <charset val="134"/>
      </rPr>
      <t>、基本公共卫生服务均等化</t>
    </r>
  </si>
  <si>
    <r>
      <rPr>
        <sz val="12"/>
        <rFont val="Times New Roman"/>
        <family val="1"/>
      </rPr>
      <t>2</t>
    </r>
    <r>
      <rPr>
        <sz val="12"/>
        <color indexed="8"/>
        <rFont val="宋体"/>
        <family val="3"/>
        <charset val="134"/>
      </rPr>
      <t>、城乡居民医疗保险补助经费</t>
    </r>
  </si>
  <si>
    <r>
      <rPr>
        <sz val="12"/>
        <rFont val="Times New Roman"/>
        <family val="1"/>
      </rPr>
      <t>3</t>
    </r>
    <r>
      <rPr>
        <sz val="12"/>
        <color indexed="8"/>
        <rFont val="宋体"/>
        <family val="3"/>
        <charset val="134"/>
      </rPr>
      <t>、医疗保险基金补助</t>
    </r>
  </si>
  <si>
    <r>
      <rPr>
        <sz val="12"/>
        <rFont val="Times New Roman"/>
        <family val="1"/>
      </rPr>
      <t>4</t>
    </r>
    <r>
      <rPr>
        <sz val="12"/>
        <color indexed="8"/>
        <rFont val="宋体"/>
        <family val="3"/>
        <charset val="134"/>
      </rPr>
      <t>、计划生育经费</t>
    </r>
  </si>
  <si>
    <r>
      <rPr>
        <sz val="12"/>
        <color indexed="8"/>
        <rFont val="宋体"/>
        <family val="3"/>
        <charset val="134"/>
      </rPr>
      <t>（</t>
    </r>
    <r>
      <rPr>
        <sz val="12"/>
        <color indexed="8"/>
        <rFont val="Times New Roman"/>
        <family val="1"/>
      </rPr>
      <t>1</t>
    </r>
    <r>
      <rPr>
        <sz val="12"/>
        <color indexed="8"/>
        <rFont val="宋体"/>
        <family val="3"/>
        <charset val="134"/>
      </rPr>
      <t>）计划生育事业经费及市级配套</t>
    </r>
  </si>
  <si>
    <r>
      <rPr>
        <sz val="12"/>
        <color indexed="8"/>
        <rFont val="宋体"/>
        <family val="3"/>
        <charset val="134"/>
      </rPr>
      <t>（</t>
    </r>
    <r>
      <rPr>
        <sz val="12"/>
        <color indexed="8"/>
        <rFont val="Times New Roman"/>
        <family val="1"/>
      </rPr>
      <t>2</t>
    </r>
    <r>
      <rPr>
        <sz val="12"/>
        <color indexed="8"/>
        <rFont val="宋体"/>
        <family val="3"/>
        <charset val="134"/>
      </rPr>
      <t>）城镇独生子女奖励市本级配套</t>
    </r>
  </si>
  <si>
    <r>
      <rPr>
        <sz val="12"/>
        <color indexed="8"/>
        <rFont val="宋体"/>
        <family val="3"/>
        <charset val="134"/>
      </rPr>
      <t>（3）出生缺陷防治经费</t>
    </r>
  </si>
  <si>
    <r>
      <rPr>
        <sz val="12"/>
        <rFont val="Times New Roman"/>
        <family val="1"/>
      </rPr>
      <t>5</t>
    </r>
    <r>
      <rPr>
        <sz val="12"/>
        <rFont val="宋体"/>
        <family val="3"/>
        <charset val="134"/>
      </rPr>
      <t>、城市公立医院改革财政补偿经费</t>
    </r>
  </si>
  <si>
    <r>
      <rPr>
        <sz val="12"/>
        <rFont val="Times New Roman"/>
        <family val="1"/>
      </rPr>
      <t>6</t>
    </r>
    <r>
      <rPr>
        <sz val="12"/>
        <rFont val="宋体"/>
        <family val="3"/>
        <charset val="134"/>
      </rPr>
      <t>、城乡医疗救助及中心城区救急难专项</t>
    </r>
  </si>
  <si>
    <r>
      <rPr>
        <sz val="12"/>
        <rFont val="Times New Roman"/>
        <family val="1"/>
      </rPr>
      <t>7</t>
    </r>
    <r>
      <rPr>
        <sz val="12"/>
        <color indexed="8"/>
        <rFont val="宋体"/>
        <family val="3"/>
        <charset val="134"/>
      </rPr>
      <t>、自主择业军转干部医疗保险</t>
    </r>
  </si>
  <si>
    <r>
      <rPr>
        <sz val="12"/>
        <rFont val="Times New Roman"/>
        <family val="1"/>
      </rPr>
      <t>8</t>
    </r>
    <r>
      <rPr>
        <sz val="12"/>
        <color indexed="8"/>
        <rFont val="宋体"/>
        <family val="3"/>
        <charset val="134"/>
      </rPr>
      <t>、重大公共卫生应急经费</t>
    </r>
  </si>
  <si>
    <r>
      <rPr>
        <sz val="12"/>
        <rFont val="Times New Roman"/>
        <family val="1"/>
      </rPr>
      <t>9</t>
    </r>
    <r>
      <rPr>
        <sz val="12"/>
        <color indexed="8"/>
        <rFont val="宋体"/>
        <family val="3"/>
        <charset val="134"/>
      </rPr>
      <t>、省市级卫生乡镇创建专项经费</t>
    </r>
  </si>
  <si>
    <r>
      <rPr>
        <sz val="12"/>
        <rFont val="Times New Roman"/>
        <family val="1"/>
      </rPr>
      <t>10</t>
    </r>
    <r>
      <rPr>
        <sz val="12"/>
        <color indexed="8"/>
        <rFont val="宋体"/>
        <family val="3"/>
        <charset val="134"/>
      </rPr>
      <t>、基层医疗机构药品零差率</t>
    </r>
  </si>
  <si>
    <r>
      <rPr>
        <sz val="12"/>
        <rFont val="Times New Roman"/>
        <family val="1"/>
      </rPr>
      <t>11</t>
    </r>
    <r>
      <rPr>
        <sz val="12"/>
        <color indexed="8"/>
        <rFont val="宋体"/>
        <family val="3"/>
        <charset val="134"/>
      </rPr>
      <t>、对医疗机构日常监督检查经费</t>
    </r>
  </si>
  <si>
    <r>
      <rPr>
        <sz val="12"/>
        <rFont val="Times New Roman"/>
        <family val="1"/>
      </rPr>
      <t>12</t>
    </r>
    <r>
      <rPr>
        <sz val="12"/>
        <color indexed="8"/>
        <rFont val="宋体"/>
        <family val="3"/>
        <charset val="134"/>
      </rPr>
      <t>、农村妇女</t>
    </r>
    <r>
      <rPr>
        <sz val="12"/>
        <color indexed="8"/>
        <rFont val="Times New Roman"/>
        <family val="1"/>
      </rPr>
      <t>“</t>
    </r>
    <r>
      <rPr>
        <sz val="12"/>
        <color indexed="8"/>
        <rFont val="宋体"/>
        <family val="3"/>
        <charset val="134"/>
      </rPr>
      <t>两癌</t>
    </r>
    <r>
      <rPr>
        <sz val="12"/>
        <color indexed="8"/>
        <rFont val="Times New Roman"/>
        <family val="1"/>
      </rPr>
      <t>”</t>
    </r>
    <r>
      <rPr>
        <sz val="12"/>
        <color indexed="8"/>
        <rFont val="宋体"/>
        <family val="3"/>
        <charset val="134"/>
      </rPr>
      <t>免费检查市级配套资金</t>
    </r>
  </si>
  <si>
    <t>六、农业</t>
  </si>
  <si>
    <r>
      <rPr>
        <sz val="12"/>
        <rFont val="Times New Roman"/>
        <family val="1"/>
      </rPr>
      <t>1</t>
    </r>
    <r>
      <rPr>
        <sz val="12"/>
        <color indexed="8"/>
        <rFont val="宋体"/>
        <family val="3"/>
        <charset val="134"/>
      </rPr>
      <t>、地方水利专项收入安排支出</t>
    </r>
  </si>
  <si>
    <r>
      <rPr>
        <sz val="12"/>
        <rFont val="Times New Roman"/>
        <family val="1"/>
      </rPr>
      <t>2</t>
    </r>
    <r>
      <rPr>
        <sz val="12"/>
        <color indexed="8"/>
        <rFont val="宋体"/>
        <family val="3"/>
        <charset val="134"/>
      </rPr>
      <t>、防汛抗旱经费</t>
    </r>
  </si>
  <si>
    <r>
      <rPr>
        <sz val="12"/>
        <rFont val="Times New Roman"/>
        <family val="1"/>
      </rPr>
      <t>3</t>
    </r>
    <r>
      <rPr>
        <sz val="12"/>
        <color indexed="8"/>
        <rFont val="宋体"/>
        <family val="3"/>
        <charset val="134"/>
      </rPr>
      <t>、重大动物防疫防控经费</t>
    </r>
  </si>
  <si>
    <r>
      <rPr>
        <sz val="12"/>
        <rFont val="Times New Roman"/>
        <family val="1"/>
      </rPr>
      <t>4</t>
    </r>
    <r>
      <rPr>
        <sz val="12"/>
        <color indexed="8"/>
        <rFont val="宋体"/>
        <family val="3"/>
        <charset val="134"/>
      </rPr>
      <t>、市直水管体制改革经费</t>
    </r>
  </si>
  <si>
    <r>
      <rPr>
        <sz val="12"/>
        <rFont val="Times New Roman"/>
        <family val="1"/>
      </rPr>
      <t>5</t>
    </r>
    <r>
      <rPr>
        <sz val="12"/>
        <color indexed="8"/>
        <rFont val="宋体"/>
        <family val="3"/>
        <charset val="134"/>
      </rPr>
      <t>、救灾备荒种子储备</t>
    </r>
  </si>
  <si>
    <r>
      <rPr>
        <sz val="12"/>
        <rFont val="Times New Roman"/>
        <family val="1"/>
      </rPr>
      <t>6</t>
    </r>
    <r>
      <rPr>
        <sz val="12"/>
        <color indexed="8"/>
        <rFont val="宋体"/>
        <family val="3"/>
        <charset val="134"/>
      </rPr>
      <t>、农村综合配套改革及</t>
    </r>
    <r>
      <rPr>
        <sz val="12"/>
        <color indexed="8"/>
        <rFont val="Times New Roman"/>
        <family val="1"/>
      </rPr>
      <t>“</t>
    </r>
    <r>
      <rPr>
        <sz val="12"/>
        <color indexed="8"/>
        <rFont val="宋体"/>
        <family val="3"/>
        <charset val="134"/>
      </rPr>
      <t>一事一议</t>
    </r>
    <r>
      <rPr>
        <sz val="12"/>
        <color indexed="8"/>
        <rFont val="Times New Roman"/>
        <family val="1"/>
      </rPr>
      <t>”</t>
    </r>
    <r>
      <rPr>
        <sz val="12"/>
        <color indexed="8"/>
        <rFont val="宋体"/>
        <family val="3"/>
        <charset val="134"/>
      </rPr>
      <t>奖补配套经费</t>
    </r>
  </si>
  <si>
    <r>
      <rPr>
        <sz val="12"/>
        <rFont val="Times New Roman"/>
        <family val="1"/>
      </rPr>
      <t>7</t>
    </r>
    <r>
      <rPr>
        <sz val="12"/>
        <color indexed="8"/>
        <rFont val="宋体"/>
        <family val="3"/>
        <charset val="134"/>
      </rPr>
      <t>、农产品质量安全监管及检验检测专项经费</t>
    </r>
  </si>
  <si>
    <r>
      <rPr>
        <sz val="12"/>
        <rFont val="Times New Roman"/>
        <family val="1"/>
      </rPr>
      <t>8</t>
    </r>
    <r>
      <rPr>
        <sz val="12"/>
        <color indexed="8"/>
        <rFont val="宋体"/>
        <family val="3"/>
        <charset val="134"/>
      </rPr>
      <t>、农机具购置补贴配套</t>
    </r>
  </si>
  <si>
    <t>七、其他</t>
  </si>
  <si>
    <r>
      <rPr>
        <sz val="12"/>
        <rFont val="Times New Roman"/>
        <family val="1"/>
      </rPr>
      <t>1</t>
    </r>
    <r>
      <rPr>
        <sz val="12"/>
        <color indexed="8"/>
        <rFont val="宋体"/>
        <family val="3"/>
        <charset val="134"/>
      </rPr>
      <t>、公共租赁住房资金</t>
    </r>
  </si>
  <si>
    <r>
      <rPr>
        <sz val="12"/>
        <rFont val="Times New Roman"/>
        <family val="1"/>
      </rPr>
      <t>2</t>
    </r>
    <r>
      <rPr>
        <sz val="12"/>
        <color indexed="8"/>
        <rFont val="宋体"/>
        <family val="3"/>
        <charset val="134"/>
      </rPr>
      <t>、社区经费补助</t>
    </r>
  </si>
  <si>
    <r>
      <rPr>
        <sz val="12"/>
        <color indexed="8"/>
        <rFont val="宋体"/>
        <family val="3"/>
        <charset val="134"/>
      </rPr>
      <t>（</t>
    </r>
    <r>
      <rPr>
        <sz val="12"/>
        <color indexed="8"/>
        <rFont val="Times New Roman"/>
        <family val="1"/>
      </rPr>
      <t>1</t>
    </r>
    <r>
      <rPr>
        <sz val="12"/>
        <color indexed="8"/>
        <rFont val="宋体"/>
        <family val="3"/>
        <charset val="134"/>
      </rPr>
      <t>）社区党建工作经费</t>
    </r>
  </si>
  <si>
    <r>
      <rPr>
        <sz val="12"/>
        <color indexed="8"/>
        <rFont val="宋体"/>
        <family val="3"/>
        <charset val="134"/>
      </rPr>
      <t>（</t>
    </r>
    <r>
      <rPr>
        <sz val="12"/>
        <color indexed="8"/>
        <rFont val="Times New Roman"/>
        <family val="1"/>
      </rPr>
      <t>2</t>
    </r>
    <r>
      <rPr>
        <sz val="12"/>
        <color indexed="8"/>
        <rFont val="宋体"/>
        <family val="3"/>
        <charset val="134"/>
      </rPr>
      <t>）社区运转经费补助（含网格化服务管理工作经费）</t>
    </r>
  </si>
  <si>
    <r>
      <rPr>
        <sz val="12"/>
        <color indexed="8"/>
        <rFont val="宋体"/>
        <family val="3"/>
        <charset val="134"/>
      </rPr>
      <t>（</t>
    </r>
    <r>
      <rPr>
        <sz val="12"/>
        <color indexed="8"/>
        <rFont val="Times New Roman"/>
        <family val="1"/>
      </rPr>
      <t>3</t>
    </r>
    <r>
      <rPr>
        <sz val="12"/>
        <color indexed="8"/>
        <rFont val="宋体"/>
        <family val="3"/>
        <charset val="134"/>
      </rPr>
      <t>）流动人口管理</t>
    </r>
  </si>
  <si>
    <r>
      <rPr>
        <sz val="12"/>
        <color indexed="8"/>
        <rFont val="宋体"/>
        <family val="3"/>
        <charset val="134"/>
      </rPr>
      <t>（</t>
    </r>
    <r>
      <rPr>
        <sz val="12"/>
        <color indexed="8"/>
        <rFont val="Times New Roman"/>
        <family val="1"/>
      </rPr>
      <t>4</t>
    </r>
    <r>
      <rPr>
        <sz val="12"/>
        <color indexed="8"/>
        <rFont val="宋体"/>
        <family val="3"/>
        <charset val="134"/>
      </rPr>
      <t>）社区综合治理工作经费</t>
    </r>
  </si>
  <si>
    <r>
      <rPr>
        <sz val="12"/>
        <color indexed="8"/>
        <rFont val="宋体"/>
        <family val="3"/>
        <charset val="134"/>
      </rPr>
      <t>（</t>
    </r>
    <r>
      <rPr>
        <sz val="12"/>
        <color indexed="8"/>
        <rFont val="Times New Roman"/>
        <family val="1"/>
      </rPr>
      <t>5</t>
    </r>
    <r>
      <rPr>
        <sz val="12"/>
        <color indexed="8"/>
        <rFont val="宋体"/>
        <family val="3"/>
        <charset val="134"/>
      </rPr>
      <t>）社区惠民项目资金</t>
    </r>
  </si>
  <si>
    <r>
      <rPr>
        <sz val="12"/>
        <rFont val="Times New Roman"/>
        <family val="1"/>
      </rPr>
      <t>3</t>
    </r>
    <r>
      <rPr>
        <sz val="12"/>
        <color indexed="8"/>
        <rFont val="宋体"/>
        <family val="3"/>
        <charset val="134"/>
      </rPr>
      <t>、青少年事业发展专项经费</t>
    </r>
  </si>
  <si>
    <r>
      <rPr>
        <sz val="12"/>
        <rFont val="Times New Roman"/>
        <family val="1"/>
      </rPr>
      <t>4</t>
    </r>
    <r>
      <rPr>
        <sz val="12"/>
        <color indexed="8"/>
        <rFont val="宋体"/>
        <family val="3"/>
        <charset val="134"/>
      </rPr>
      <t>、妇女儿童事业发展专项经费</t>
    </r>
  </si>
  <si>
    <r>
      <rPr>
        <sz val="12"/>
        <rFont val="Times New Roman"/>
        <family val="1"/>
      </rPr>
      <t>5</t>
    </r>
    <r>
      <rPr>
        <sz val="12"/>
        <color indexed="8"/>
        <rFont val="宋体"/>
        <family val="3"/>
        <charset val="134"/>
      </rPr>
      <t>、国家赔偿费用</t>
    </r>
  </si>
  <si>
    <r>
      <rPr>
        <sz val="12"/>
        <rFont val="Times New Roman"/>
        <family val="1"/>
      </rPr>
      <t>6</t>
    </r>
    <r>
      <rPr>
        <sz val="12"/>
        <color indexed="8"/>
        <rFont val="宋体"/>
        <family val="3"/>
        <charset val="134"/>
      </rPr>
      <t>、特殊疑难信访问题专项资金市级配套</t>
    </r>
  </si>
  <si>
    <r>
      <rPr>
        <sz val="12"/>
        <rFont val="Times New Roman"/>
        <family val="1"/>
      </rPr>
      <t>7</t>
    </r>
    <r>
      <rPr>
        <sz val="12"/>
        <rFont val="宋体"/>
        <family val="3"/>
        <charset val="134"/>
      </rPr>
      <t>、老年人和学生乘公交车补贴</t>
    </r>
  </si>
  <si>
    <r>
      <rPr>
        <b/>
        <sz val="18"/>
        <color indexed="8"/>
        <rFont val="Times New Roman"/>
        <family val="1"/>
      </rPr>
      <t>2019</t>
    </r>
    <r>
      <rPr>
        <b/>
        <sz val="18"/>
        <color indexed="8"/>
        <rFont val="宋体"/>
        <family val="3"/>
        <charset val="134"/>
      </rPr>
      <t>年预算政府一般债务限额和余额情况表</t>
    </r>
  </si>
  <si>
    <t>单位：亿元</t>
  </si>
  <si>
    <t>限额</t>
  </si>
  <si>
    <t>余额</t>
  </si>
  <si>
    <t>益阳市</t>
  </si>
  <si>
    <t>其中：纯本级</t>
  </si>
  <si>
    <t>注：限额为2018年省厅核定的限额，余额为2018年底初步审核数，均暂未经省厅最终审核认定。</t>
  </si>
  <si>
    <r>
      <rPr>
        <b/>
        <sz val="18"/>
        <color indexed="8"/>
        <rFont val="Times New Roman"/>
        <family val="1"/>
      </rPr>
      <t>2019</t>
    </r>
    <r>
      <rPr>
        <b/>
        <sz val="18"/>
        <color indexed="8"/>
        <rFont val="宋体"/>
        <family val="3"/>
        <charset val="134"/>
      </rPr>
      <t>年预算政府专项债务限额和余额情况表</t>
    </r>
  </si>
  <si>
    <r>
      <rPr>
        <sz val="12"/>
        <rFont val="宋体"/>
        <family val="3"/>
        <charset val="134"/>
      </rPr>
      <t>说</t>
    </r>
    <r>
      <rPr>
        <sz val="12"/>
        <rFont val="仿宋_GB2312"/>
        <family val="1"/>
        <charset val="134"/>
      </rPr>
      <t>明：由于</t>
    </r>
    <r>
      <rPr>
        <sz val="12"/>
        <rFont val="宋体"/>
        <family val="3"/>
        <charset val="134"/>
      </rPr>
      <t>区</t>
    </r>
    <r>
      <rPr>
        <sz val="12"/>
        <rFont val="仿宋_GB2312"/>
        <family val="1"/>
        <charset val="134"/>
      </rPr>
      <t>域</t>
    </r>
    <r>
      <rPr>
        <sz val="12"/>
        <rFont val="宋体"/>
        <family val="3"/>
        <charset val="134"/>
      </rPr>
      <t>经济</t>
    </r>
    <r>
      <rPr>
        <sz val="12"/>
        <rFont val="仿宋_GB2312"/>
        <family val="1"/>
        <charset val="134"/>
      </rPr>
      <t>的</t>
    </r>
    <r>
      <rPr>
        <sz val="12"/>
        <rFont val="宋体"/>
        <family val="3"/>
        <charset val="134"/>
      </rPr>
      <t>发</t>
    </r>
    <r>
      <rPr>
        <sz val="12"/>
        <rFont val="仿宋_GB2312"/>
        <family val="1"/>
        <charset val="134"/>
      </rPr>
      <t>展</t>
    </r>
    <r>
      <rPr>
        <sz val="12"/>
        <rFont val="宋体"/>
        <family val="3"/>
        <charset val="134"/>
      </rPr>
      <t>现状</t>
    </r>
    <r>
      <rPr>
        <sz val="12"/>
        <rFont val="仿宋_GB2312"/>
        <family val="1"/>
        <charset val="134"/>
      </rPr>
      <t>和</t>
    </r>
    <r>
      <rPr>
        <sz val="12"/>
        <rFont val="宋体"/>
        <family val="3"/>
        <charset val="134"/>
      </rPr>
      <t>现</t>
    </r>
    <r>
      <rPr>
        <sz val="12"/>
        <rFont val="仿宋_GB2312"/>
        <family val="1"/>
        <charset val="134"/>
      </rPr>
      <t>行的市与</t>
    </r>
    <r>
      <rPr>
        <sz val="12"/>
        <rFont val="宋体"/>
        <family val="3"/>
        <charset val="134"/>
      </rPr>
      <t>区县财</t>
    </r>
    <r>
      <rPr>
        <sz val="12"/>
        <rFont val="仿宋_GB2312"/>
        <family val="1"/>
        <charset val="134"/>
      </rPr>
      <t>政体制等方面的原因，市本</t>
    </r>
    <r>
      <rPr>
        <sz val="12"/>
        <rFont val="宋体"/>
        <family val="3"/>
        <charset val="134"/>
      </rPr>
      <t>级</t>
    </r>
    <r>
      <rPr>
        <sz val="12"/>
        <rFont val="仿宋_GB2312"/>
        <family val="1"/>
        <charset val="134"/>
      </rPr>
      <t>的事</t>
    </r>
    <r>
      <rPr>
        <sz val="12"/>
        <rFont val="宋体"/>
        <family val="3"/>
        <charset val="134"/>
      </rPr>
      <t>权</t>
    </r>
    <r>
      <rPr>
        <sz val="12"/>
        <rFont val="仿宋_GB2312"/>
        <family val="1"/>
        <charset val="134"/>
      </rPr>
      <t>和</t>
    </r>
    <r>
      <rPr>
        <sz val="12"/>
        <rFont val="宋体"/>
        <family val="3"/>
        <charset val="134"/>
      </rPr>
      <t>财</t>
    </r>
    <r>
      <rPr>
        <sz val="12"/>
        <rFont val="仿宋_GB2312"/>
        <family val="1"/>
        <charset val="134"/>
      </rPr>
      <t>力范</t>
    </r>
    <r>
      <rPr>
        <sz val="12"/>
        <rFont val="宋体"/>
        <family val="3"/>
        <charset val="134"/>
      </rPr>
      <t>围较</t>
    </r>
    <r>
      <rPr>
        <sz val="12"/>
        <rFont val="仿宋_GB2312"/>
        <family val="1"/>
        <charset val="134"/>
      </rPr>
      <t>小，市本</t>
    </r>
    <r>
      <rPr>
        <sz val="12"/>
        <rFont val="宋体"/>
        <family val="3"/>
        <charset val="134"/>
      </rPr>
      <t>级没</t>
    </r>
    <r>
      <rPr>
        <sz val="12"/>
        <rFont val="仿宋_GB2312"/>
        <family val="1"/>
        <charset val="134"/>
      </rPr>
      <t>有集中</t>
    </r>
    <r>
      <rPr>
        <sz val="12"/>
        <rFont val="宋体"/>
        <family val="3"/>
        <charset val="134"/>
      </rPr>
      <t>区县</t>
    </r>
    <r>
      <rPr>
        <sz val="12"/>
        <rFont val="仿宋_GB2312"/>
        <family val="1"/>
        <charset val="134"/>
      </rPr>
      <t>（市）的收入，也</t>
    </r>
    <r>
      <rPr>
        <sz val="12"/>
        <rFont val="宋体"/>
        <family val="3"/>
        <charset val="134"/>
      </rPr>
      <t>没</t>
    </r>
    <r>
      <rPr>
        <sz val="12"/>
        <rFont val="仿宋_GB2312"/>
        <family val="1"/>
        <charset val="134"/>
      </rPr>
      <t>有按</t>
    </r>
    <r>
      <rPr>
        <sz val="12"/>
        <rFont val="宋体"/>
        <family val="3"/>
        <charset val="134"/>
      </rPr>
      <t>税</t>
    </r>
    <r>
      <rPr>
        <sz val="12"/>
        <rFont val="仿宋_GB2312"/>
        <family val="1"/>
        <charset val="134"/>
      </rPr>
      <t>种重新分配，市</t>
    </r>
    <r>
      <rPr>
        <sz val="12"/>
        <rFont val="宋体"/>
        <family val="3"/>
        <charset val="134"/>
      </rPr>
      <t>级调</t>
    </r>
    <r>
      <rPr>
        <sz val="12"/>
        <rFont val="仿宋_GB2312"/>
        <family val="1"/>
        <charset val="134"/>
      </rPr>
      <t>控能力很弱，目前</t>
    </r>
    <r>
      <rPr>
        <sz val="12"/>
        <rFont val="宋体"/>
        <family val="3"/>
        <charset val="134"/>
      </rPr>
      <t>还没</t>
    </r>
    <r>
      <rPr>
        <sz val="12"/>
        <rFont val="仿宋_GB2312"/>
        <family val="1"/>
        <charset val="134"/>
      </rPr>
      <t>有也</t>
    </r>
    <r>
      <rPr>
        <sz val="12"/>
        <rFont val="宋体"/>
        <family val="3"/>
        <charset val="134"/>
      </rPr>
      <t>无</t>
    </r>
    <r>
      <rPr>
        <sz val="12"/>
        <rFont val="仿宋_GB2312"/>
        <family val="1"/>
        <charset val="134"/>
      </rPr>
      <t>力建立市</t>
    </r>
    <r>
      <rPr>
        <sz val="12"/>
        <rFont val="宋体"/>
        <family val="3"/>
        <charset val="134"/>
      </rPr>
      <t>对区县</t>
    </r>
    <r>
      <rPr>
        <sz val="12"/>
        <rFont val="仿宋_GB2312"/>
        <family val="1"/>
        <charset val="134"/>
      </rPr>
      <t>的一般性</t>
    </r>
    <r>
      <rPr>
        <sz val="12"/>
        <rFont val="宋体"/>
        <family val="3"/>
        <charset val="134"/>
      </rPr>
      <t>转</t>
    </r>
    <r>
      <rPr>
        <sz val="12"/>
        <rFont val="仿宋_GB2312"/>
        <family val="1"/>
        <charset val="134"/>
      </rPr>
      <t>移支付和基金</t>
    </r>
    <r>
      <rPr>
        <sz val="12"/>
        <rFont val="宋体"/>
        <family val="3"/>
        <charset val="134"/>
      </rPr>
      <t>转</t>
    </r>
    <r>
      <rPr>
        <sz val="12"/>
        <rFont val="仿宋_GB2312"/>
        <family val="1"/>
        <charset val="134"/>
      </rPr>
      <t>移支付制度。</t>
    </r>
    <phoneticPr fontId="2" type="noConversion"/>
  </si>
  <si>
    <t>说明：由于区域经济的发展现状和现行的市与区县财政体制等方面的原因，市本级的事权和财力范围较小，市本级没有集中区县（市）的收入，也没有按税种重新分配，市级调控能力很弱，目前还没有也无力建立市对区县的一般性转移支付和基金转移支付制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</si>
</sst>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43" formatCode="_ * #,##0.00_ ;_ * \-#,##0.00_ ;_ * &quot;-&quot;??_ ;_ @_ "/>
    <numFmt numFmtId="176" formatCode="#,##0.00_ "/>
    <numFmt numFmtId="177" formatCode="#,##0;\-#,##0;&quot;-&quot;"/>
    <numFmt numFmtId="178" formatCode="0.0_);[Red]\(0.0\)"/>
    <numFmt numFmtId="179" formatCode="_-\¥* #,##0_-;\-\¥* #,##0_-;_-\¥* &quot;-&quot;_-;_-@_-"/>
    <numFmt numFmtId="180" formatCode="_-* #,##0_$_-;\-* #,##0_$_-;_-* &quot;-&quot;_$_-;_-@_-"/>
    <numFmt numFmtId="181" formatCode="_-* #,##0.00_$_-;\-* #,##0.00_$_-;_-* &quot;-&quot;??_$_-;_-@_-"/>
    <numFmt numFmtId="182" formatCode="_-* #,##0&quot;$&quot;_-;\-* #,##0&quot;$&quot;_-;_-* &quot;-&quot;&quot;$&quot;_-;_-@_-"/>
    <numFmt numFmtId="183" formatCode="_-* #,##0.00&quot;$&quot;_-;\-* #,##0.00&quot;$&quot;_-;_-* &quot;-&quot;??&quot;$&quot;_-;_-@_-"/>
    <numFmt numFmtId="184" formatCode="0.0"/>
    <numFmt numFmtId="185" formatCode="0_);[Red]\(0\)"/>
    <numFmt numFmtId="186" formatCode="0_ "/>
    <numFmt numFmtId="187" formatCode="0.00_ "/>
  </numFmts>
  <fonts count="90">
    <font>
      <sz val="12"/>
      <name val="宋体"/>
      <charset val="134"/>
    </font>
    <font>
      <sz val="20"/>
      <color indexed="8"/>
      <name val="黑体"/>
      <family val="3"/>
      <charset val="134"/>
    </font>
    <font>
      <sz val="9"/>
      <name val="宋体"/>
      <family val="3"/>
      <charset val="134"/>
    </font>
    <font>
      <sz val="12"/>
      <color indexed="8"/>
      <name val="宋体"/>
      <family val="3"/>
      <charset val="134"/>
    </font>
    <font>
      <b/>
      <sz val="12"/>
      <color indexed="8"/>
      <name val="宋体"/>
      <family val="3"/>
      <charset val="134"/>
    </font>
    <font>
      <b/>
      <sz val="12"/>
      <name val="Times New Roman"/>
      <family val="1"/>
    </font>
    <font>
      <sz val="12"/>
      <name val="Times New Roman"/>
      <family val="1"/>
    </font>
    <font>
      <sz val="12"/>
      <color indexed="8"/>
      <name val="Times New Roman"/>
      <family val="1"/>
    </font>
    <font>
      <b/>
      <sz val="12"/>
      <name val="宋体"/>
      <family val="3"/>
      <charset val="134"/>
    </font>
    <font>
      <sz val="16"/>
      <name val="宋体"/>
      <family val="3"/>
      <charset val="134"/>
    </font>
    <font>
      <sz val="11"/>
      <name val="宋体"/>
      <family val="3"/>
      <charset val="134"/>
    </font>
    <font>
      <b/>
      <sz val="11"/>
      <name val="宋体"/>
      <family val="3"/>
      <charset val="134"/>
    </font>
    <font>
      <sz val="11"/>
      <name val="Times New Roman"/>
      <family val="1"/>
    </font>
    <font>
      <sz val="18"/>
      <name val="黑体"/>
      <family val="3"/>
      <charset val="134"/>
    </font>
    <font>
      <b/>
      <sz val="10"/>
      <name val="宋体"/>
      <family val="3"/>
      <charset val="134"/>
    </font>
    <font>
      <sz val="10"/>
      <name val="宋体"/>
      <family val="3"/>
      <charset val="134"/>
    </font>
    <font>
      <sz val="10"/>
      <color indexed="8"/>
      <name val="宋体"/>
      <family val="3"/>
      <charset val="134"/>
    </font>
    <font>
      <sz val="18"/>
      <name val="Times New Roman"/>
      <family val="1"/>
    </font>
    <font>
      <b/>
      <sz val="11"/>
      <name val="Times New Roman"/>
      <family val="1"/>
    </font>
    <font>
      <sz val="11"/>
      <color indexed="8"/>
      <name val="宋体"/>
      <family val="3"/>
      <charset val="134"/>
    </font>
    <font>
      <sz val="18"/>
      <color indexed="8"/>
      <name val="黑体"/>
      <family val="3"/>
      <charset val="134"/>
    </font>
    <font>
      <b/>
      <sz val="11"/>
      <color indexed="8"/>
      <name val="宋体"/>
      <family val="3"/>
      <charset val="134"/>
    </font>
    <font>
      <sz val="24"/>
      <color indexed="8"/>
      <name val="宋体"/>
      <family val="3"/>
      <charset val="134"/>
    </font>
    <font>
      <b/>
      <sz val="17"/>
      <color indexed="8"/>
      <name val="华文中宋"/>
      <charset val="134"/>
    </font>
    <font>
      <b/>
      <sz val="11"/>
      <color indexed="8"/>
      <name val="黑体"/>
      <family val="3"/>
      <charset val="134"/>
    </font>
    <font>
      <sz val="12"/>
      <color indexed="8"/>
      <name val="Arial Narrow"/>
      <family val="2"/>
    </font>
    <font>
      <sz val="10"/>
      <name val="Times New Roman"/>
      <family val="1"/>
    </font>
    <font>
      <b/>
      <sz val="10"/>
      <name val="Times New Roman"/>
      <family val="1"/>
    </font>
    <font>
      <sz val="22"/>
      <name val="Times New Roman"/>
      <family val="1"/>
    </font>
    <font>
      <sz val="11"/>
      <color indexed="0"/>
      <name val="Times New Roman"/>
      <family val="1"/>
    </font>
    <font>
      <b/>
      <sz val="22"/>
      <name val="方正小标宋简体"/>
      <charset val="134"/>
    </font>
    <font>
      <sz val="22"/>
      <name val="方正小标宋简体"/>
      <charset val="134"/>
    </font>
    <font>
      <sz val="11"/>
      <color indexed="8"/>
      <name val="Times New Roman"/>
      <family val="1"/>
    </font>
    <font>
      <b/>
      <sz val="11"/>
      <color indexed="8"/>
      <name val="Times New Roman"/>
      <family val="1"/>
    </font>
    <font>
      <sz val="10.5"/>
      <name val="宋体"/>
      <family val="3"/>
      <charset val="134"/>
    </font>
    <font>
      <b/>
      <sz val="10.5"/>
      <name val="宋体"/>
      <family val="3"/>
      <charset val="134"/>
    </font>
    <font>
      <sz val="10"/>
      <color indexed="8"/>
      <name val="Times New Roman"/>
      <family val="1"/>
    </font>
    <font>
      <sz val="10.5"/>
      <name val="Times New Roman"/>
      <family val="1"/>
    </font>
    <font>
      <b/>
      <sz val="17"/>
      <name val="方正小标宋简体"/>
      <charset val="134"/>
    </font>
    <font>
      <sz val="18"/>
      <name val="宋体"/>
      <family val="3"/>
      <charset val="134"/>
    </font>
    <font>
      <sz val="11"/>
      <color indexed="9"/>
      <name val="宋体"/>
      <family val="3"/>
      <charset val="134"/>
    </font>
    <font>
      <b/>
      <sz val="11"/>
      <color indexed="63"/>
      <name val="宋体"/>
      <family val="3"/>
      <charset val="134"/>
    </font>
    <font>
      <sz val="11"/>
      <color indexed="10"/>
      <name val="宋体"/>
      <family val="3"/>
      <charset val="134"/>
    </font>
    <font>
      <sz val="11"/>
      <color indexed="20"/>
      <name val="宋体"/>
      <family val="3"/>
      <charset val="134"/>
    </font>
    <font>
      <sz val="10"/>
      <name val="Geneva"/>
      <family val="1"/>
    </font>
    <font>
      <b/>
      <sz val="18"/>
      <color indexed="56"/>
      <name val="宋体"/>
      <family val="3"/>
      <charset val="134"/>
    </font>
    <font>
      <sz val="11"/>
      <color indexed="17"/>
      <name val="宋体"/>
      <family val="3"/>
      <charset val="134"/>
    </font>
    <font>
      <sz val="11"/>
      <color indexed="52"/>
      <name val="宋体"/>
      <family val="3"/>
      <charset val="134"/>
    </font>
    <font>
      <sz val="11"/>
      <color indexed="62"/>
      <name val="宋体"/>
      <family val="3"/>
      <charset val="134"/>
    </font>
    <font>
      <b/>
      <sz val="15"/>
      <color indexed="62"/>
      <name val="宋体"/>
      <family val="3"/>
      <charset val="134"/>
    </font>
    <font>
      <b/>
      <sz val="11"/>
      <color indexed="56"/>
      <name val="宋体"/>
      <family val="3"/>
      <charset val="134"/>
    </font>
    <font>
      <i/>
      <sz val="11"/>
      <color indexed="23"/>
      <name val="宋体"/>
      <family val="3"/>
      <charset val="134"/>
    </font>
    <font>
      <sz val="10"/>
      <name val="Helv"/>
      <family val="2"/>
    </font>
    <font>
      <b/>
      <sz val="21"/>
      <name val="楷体_GB2312"/>
      <charset val="134"/>
    </font>
    <font>
      <sz val="11"/>
      <color indexed="42"/>
      <name val="宋体"/>
      <family val="3"/>
      <charset val="134"/>
    </font>
    <font>
      <b/>
      <sz val="13"/>
      <color indexed="56"/>
      <name val="宋体"/>
      <family val="3"/>
      <charset val="134"/>
    </font>
    <font>
      <b/>
      <sz val="15"/>
      <color indexed="56"/>
      <name val="宋体"/>
      <family val="3"/>
      <charset val="134"/>
    </font>
    <font>
      <sz val="11"/>
      <color indexed="60"/>
      <name val="宋体"/>
      <family val="3"/>
      <charset val="134"/>
    </font>
    <font>
      <b/>
      <sz val="11"/>
      <color indexed="52"/>
      <name val="宋体"/>
      <family val="3"/>
      <charset val="134"/>
    </font>
    <font>
      <b/>
      <sz val="11"/>
      <color indexed="9"/>
      <name val="宋体"/>
      <family val="3"/>
      <charset val="134"/>
    </font>
    <font>
      <sz val="10"/>
      <name val="Arial"/>
      <family val="2"/>
    </font>
    <font>
      <b/>
      <sz val="13"/>
      <color indexed="62"/>
      <name val="宋体"/>
      <family val="3"/>
      <charset val="134"/>
    </font>
    <font>
      <b/>
      <sz val="11"/>
      <color indexed="62"/>
      <name val="宋体"/>
      <family val="3"/>
      <charset val="134"/>
    </font>
    <font>
      <b/>
      <sz val="18"/>
      <color indexed="54"/>
      <name val="宋体"/>
      <family val="3"/>
      <charset val="134"/>
    </font>
    <font>
      <sz val="10"/>
      <name val="MS Sans Serif"/>
      <family val="2"/>
    </font>
    <font>
      <sz val="7"/>
      <name val="Small Fonts"/>
      <family val="2"/>
    </font>
    <font>
      <b/>
      <sz val="10"/>
      <name val="Arial"/>
      <family val="2"/>
    </font>
    <font>
      <b/>
      <sz val="13"/>
      <color indexed="54"/>
      <name val="宋体"/>
      <family val="3"/>
      <charset val="134"/>
    </font>
    <font>
      <b/>
      <i/>
      <sz val="16"/>
      <name val="Helv"/>
      <family val="2"/>
    </font>
    <font>
      <b/>
      <sz val="12"/>
      <name val="Arial"/>
      <family val="2"/>
    </font>
    <font>
      <sz val="8"/>
      <name val="Arial"/>
      <family val="2"/>
    </font>
    <font>
      <sz val="10"/>
      <color indexed="8"/>
      <name val="Arial"/>
      <family val="2"/>
    </font>
    <font>
      <b/>
      <sz val="15"/>
      <color indexed="54"/>
      <name val="宋体"/>
      <family val="3"/>
      <charset val="134"/>
    </font>
    <font>
      <sz val="11"/>
      <color indexed="16"/>
      <name val="宋体"/>
      <family val="3"/>
      <charset val="134"/>
    </font>
    <font>
      <b/>
      <sz val="11"/>
      <color indexed="54"/>
      <name val="宋体"/>
      <family val="3"/>
      <charset val="134"/>
    </font>
    <font>
      <sz val="12"/>
      <color indexed="20"/>
      <name val="宋体"/>
      <family val="3"/>
      <charset val="134"/>
    </font>
    <font>
      <b/>
      <sz val="18"/>
      <color indexed="62"/>
      <name val="宋体"/>
      <family val="3"/>
      <charset val="134"/>
    </font>
    <font>
      <sz val="11"/>
      <color indexed="20"/>
      <name val="Tahoma"/>
      <family val="2"/>
    </font>
    <font>
      <sz val="12"/>
      <color indexed="17"/>
      <name val="宋体"/>
      <family val="3"/>
      <charset val="134"/>
    </font>
    <font>
      <sz val="11"/>
      <color indexed="17"/>
      <name val="Tahoma"/>
      <family val="2"/>
    </font>
    <font>
      <b/>
      <sz val="11"/>
      <color indexed="53"/>
      <name val="宋体"/>
      <family val="3"/>
      <charset val="134"/>
    </font>
    <font>
      <b/>
      <sz val="11"/>
      <color indexed="42"/>
      <name val="宋体"/>
      <family val="3"/>
      <charset val="134"/>
    </font>
    <font>
      <sz val="11"/>
      <color indexed="53"/>
      <name val="宋体"/>
      <family val="3"/>
      <charset val="134"/>
    </font>
    <font>
      <sz val="11"/>
      <color indexed="19"/>
      <name val="宋体"/>
      <family val="3"/>
      <charset val="134"/>
    </font>
    <font>
      <sz val="12"/>
      <name val="Courier"/>
      <family val="3"/>
    </font>
    <font>
      <sz val="12"/>
      <name val="바탕체"/>
      <charset val="134"/>
    </font>
    <font>
      <sz val="12"/>
      <name val="宋体"/>
      <family val="3"/>
      <charset val="134"/>
    </font>
    <font>
      <b/>
      <sz val="18"/>
      <color indexed="8"/>
      <name val="Times New Roman"/>
      <family val="1"/>
    </font>
    <font>
      <b/>
      <sz val="18"/>
      <color indexed="8"/>
      <name val="宋体"/>
      <family val="3"/>
      <charset val="134"/>
    </font>
    <font>
      <sz val="12"/>
      <name val="仿宋_GB2312"/>
      <family val="1"/>
      <charset val="134"/>
    </font>
  </fonts>
  <fills count="31">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indexed="11"/>
        <bgColor indexed="64"/>
      </patternFill>
    </fill>
    <fill>
      <patternFill patternType="solid">
        <fgColor indexed="27"/>
        <bgColor indexed="64"/>
      </patternFill>
    </fill>
    <fill>
      <patternFill patternType="solid">
        <fgColor indexed="46"/>
        <bgColor indexed="64"/>
      </patternFill>
    </fill>
    <fill>
      <patternFill patternType="solid">
        <fgColor indexed="42"/>
        <bgColor indexed="64"/>
      </patternFill>
    </fill>
    <fill>
      <patternFill patternType="solid">
        <fgColor indexed="10"/>
        <bgColor indexed="64"/>
      </patternFill>
    </fill>
    <fill>
      <patternFill patternType="solid">
        <fgColor indexed="31"/>
        <bgColor indexed="64"/>
      </patternFill>
    </fill>
    <fill>
      <patternFill patternType="solid">
        <fgColor indexed="26"/>
        <bgColor indexed="64"/>
      </patternFill>
    </fill>
    <fill>
      <patternFill patternType="solid">
        <fgColor indexed="30"/>
        <bgColor indexed="64"/>
      </patternFill>
    </fill>
    <fill>
      <patternFill patternType="solid">
        <fgColor indexed="47"/>
        <bgColor indexed="64"/>
      </patternFill>
    </fill>
    <fill>
      <patternFill patternType="solid">
        <fgColor indexed="57"/>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22"/>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55"/>
        <bgColor indexed="64"/>
      </patternFill>
    </fill>
    <fill>
      <patternFill patternType="solid">
        <fgColor indexed="53"/>
        <bgColor indexed="64"/>
      </patternFill>
    </fill>
    <fill>
      <patternFill patternType="solid">
        <fgColor indexed="24"/>
        <bgColor indexed="64"/>
      </patternFill>
    </fill>
    <fill>
      <patternFill patternType="solid">
        <fgColor indexed="23"/>
        <bgColor indexed="64"/>
      </patternFill>
    </fill>
    <fill>
      <patternFill patternType="solid">
        <fgColor indexed="54"/>
        <bgColor indexed="64"/>
      </patternFill>
    </fill>
    <fill>
      <patternFill patternType="solid">
        <fgColor indexed="25"/>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auto="1"/>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auto="1"/>
      </bottom>
      <diagonal/>
    </border>
    <border>
      <left style="thin">
        <color indexed="8"/>
      </left>
      <right/>
      <top/>
      <bottom style="thin">
        <color indexed="8"/>
      </bottom>
      <diagonal/>
    </border>
    <border>
      <left style="thin">
        <color auto="1"/>
      </left>
      <right/>
      <top style="thin">
        <color indexed="8"/>
      </top>
      <bottom style="thin">
        <color indexed="8"/>
      </bottom>
      <diagonal/>
    </border>
    <border>
      <left style="thin">
        <color indexed="8"/>
      </left>
      <right style="thin">
        <color indexed="8"/>
      </right>
      <top style="thin">
        <color indexed="8"/>
      </top>
      <bottom style="thin">
        <color auto="1"/>
      </bottom>
      <diagonal/>
    </border>
    <border>
      <left style="thin">
        <color auto="1"/>
      </left>
      <right style="thin">
        <color auto="1"/>
      </right>
      <top style="thin">
        <color auto="1"/>
      </top>
      <bottom style="thin">
        <color indexed="8"/>
      </bottom>
      <diagonal/>
    </border>
    <border>
      <left style="thin">
        <color indexed="8"/>
      </left>
      <right style="thin">
        <color auto="1"/>
      </right>
      <top style="thin">
        <color indexed="8"/>
      </top>
      <bottom/>
      <diagonal/>
    </border>
    <border>
      <left style="thin">
        <color indexed="8"/>
      </left>
      <right style="thin">
        <color auto="1"/>
      </right>
      <top style="thin">
        <color indexed="8"/>
      </top>
      <bottom style="thin">
        <color indexed="8"/>
      </bottom>
      <diagonal/>
    </border>
    <border>
      <left style="thin">
        <color indexed="8"/>
      </left>
      <right style="thin">
        <color auto="1"/>
      </right>
      <top style="thin">
        <color indexed="8"/>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indexed="0"/>
      </right>
      <top/>
      <bottom style="thin">
        <color indexed="0"/>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right/>
      <top/>
      <bottom style="medium">
        <color indexed="49"/>
      </bottom>
      <diagonal/>
    </border>
    <border>
      <left/>
      <right/>
      <top/>
      <bottom style="medium">
        <color indexed="48"/>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54"/>
      </bottom>
      <diagonal/>
    </border>
    <border>
      <left/>
      <right/>
      <top/>
      <bottom style="medium">
        <color indexed="22"/>
      </bottom>
      <diagonal/>
    </border>
    <border>
      <left/>
      <right/>
      <top/>
      <bottom style="medium">
        <color indexed="44"/>
      </bottom>
      <diagonal/>
    </border>
    <border>
      <left/>
      <right/>
      <top style="thin">
        <color indexed="49"/>
      </top>
      <bottom style="double">
        <color indexed="49"/>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214">
    <xf numFmtId="0" fontId="0" fillId="0" borderId="0">
      <alignment vertical="center"/>
    </xf>
    <xf numFmtId="0" fontId="86" fillId="0" borderId="0">
      <alignment vertical="center"/>
    </xf>
    <xf numFmtId="0" fontId="86" fillId="0" borderId="0">
      <alignment vertical="center"/>
    </xf>
    <xf numFmtId="0" fontId="19" fillId="10" borderId="0" applyNumberFormat="0" applyBorder="0" applyAlignment="0" applyProtection="0">
      <alignment vertical="center"/>
    </xf>
    <xf numFmtId="0" fontId="86" fillId="0" borderId="0">
      <alignment vertical="center"/>
    </xf>
    <xf numFmtId="0" fontId="86" fillId="0" borderId="0">
      <alignment vertical="center"/>
    </xf>
    <xf numFmtId="0" fontId="6" fillId="0" borderId="0">
      <alignment vertical="center"/>
    </xf>
    <xf numFmtId="0" fontId="6" fillId="0" borderId="0">
      <alignment vertical="center"/>
    </xf>
    <xf numFmtId="0" fontId="86" fillId="0" borderId="0">
      <alignment vertical="center"/>
    </xf>
    <xf numFmtId="0" fontId="86" fillId="0" borderId="0">
      <alignment vertical="center"/>
    </xf>
    <xf numFmtId="0" fontId="19" fillId="18" borderId="0" applyNumberFormat="0" applyBorder="0" applyAlignment="0" applyProtection="0">
      <alignment vertical="center"/>
    </xf>
    <xf numFmtId="0" fontId="19" fillId="10"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55" fillId="0" borderId="33" applyNumberFormat="0" applyFill="0" applyAlignment="0" applyProtection="0">
      <alignment vertical="center"/>
    </xf>
    <xf numFmtId="0" fontId="86" fillId="0" borderId="0">
      <alignment vertical="center"/>
    </xf>
    <xf numFmtId="0" fontId="6" fillId="0" borderId="0"/>
    <xf numFmtId="0" fontId="86" fillId="0" borderId="0">
      <alignment vertical="center"/>
    </xf>
    <xf numFmtId="0" fontId="19" fillId="16" borderId="0" applyNumberFormat="0" applyBorder="0" applyAlignment="0" applyProtection="0">
      <alignment vertical="center"/>
    </xf>
    <xf numFmtId="0" fontId="19" fillId="13" borderId="0" applyNumberFormat="0" applyBorder="0" applyAlignment="0" applyProtection="0">
      <alignment vertical="center"/>
    </xf>
    <xf numFmtId="0" fontId="19" fillId="2"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18" borderId="0" applyNumberFormat="0" applyBorder="0" applyAlignment="0" applyProtection="0">
      <alignment vertical="center"/>
    </xf>
    <xf numFmtId="0" fontId="86" fillId="0" borderId="0">
      <alignment vertical="center"/>
    </xf>
    <xf numFmtId="0" fontId="6" fillId="0" borderId="0">
      <alignment vertical="center"/>
    </xf>
    <xf numFmtId="0" fontId="6" fillId="0" borderId="0">
      <alignment vertical="center"/>
    </xf>
    <xf numFmtId="0" fontId="19" fillId="5" borderId="0" applyNumberFormat="0" applyBorder="0" applyAlignment="0" applyProtection="0">
      <alignment vertical="center"/>
    </xf>
    <xf numFmtId="0" fontId="86" fillId="0" borderId="0">
      <alignment vertical="center"/>
    </xf>
    <xf numFmtId="0" fontId="86" fillId="0" borderId="0">
      <alignment vertical="center"/>
    </xf>
    <xf numFmtId="0" fontId="19" fillId="17" borderId="0" applyNumberFormat="0" applyBorder="0" applyAlignment="0" applyProtection="0">
      <alignment vertical="center"/>
    </xf>
    <xf numFmtId="0" fontId="86" fillId="0" borderId="0">
      <alignment vertical="center"/>
    </xf>
    <xf numFmtId="0" fontId="40" fillId="20" borderId="0" applyNumberFormat="0" applyBorder="0" applyAlignment="0" applyProtection="0">
      <alignment vertical="center"/>
    </xf>
    <xf numFmtId="0" fontId="40" fillId="22" borderId="0" applyNumberFormat="0" applyBorder="0" applyAlignment="0" applyProtection="0">
      <alignment vertical="center"/>
    </xf>
    <xf numFmtId="0" fontId="86" fillId="0" borderId="0">
      <alignment vertical="center"/>
    </xf>
    <xf numFmtId="0" fontId="19" fillId="17" borderId="0" applyNumberFormat="0" applyBorder="0" applyAlignment="0" applyProtection="0">
      <alignment vertical="center"/>
    </xf>
    <xf numFmtId="0" fontId="86" fillId="0" borderId="0">
      <alignment vertical="center"/>
    </xf>
    <xf numFmtId="0" fontId="19" fillId="23" borderId="0" applyNumberFormat="0" applyBorder="0" applyAlignment="0" applyProtection="0">
      <alignment vertical="center"/>
    </xf>
    <xf numFmtId="0" fontId="40" fillId="19" borderId="0" applyNumberFormat="0" applyBorder="0" applyAlignment="0" applyProtection="0">
      <alignment vertical="center"/>
    </xf>
    <xf numFmtId="0" fontId="40" fillId="16"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40" fillId="16"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6" borderId="0" applyNumberFormat="0" applyBorder="0" applyAlignment="0" applyProtection="0">
      <alignment vertical="center"/>
    </xf>
    <xf numFmtId="0" fontId="86" fillId="0" borderId="0">
      <alignment vertical="center"/>
    </xf>
    <xf numFmtId="0" fontId="40" fillId="16" borderId="0" applyNumberFormat="0" applyBorder="0" applyAlignment="0" applyProtection="0">
      <alignment vertical="center"/>
    </xf>
    <xf numFmtId="0" fontId="86" fillId="0" borderId="0">
      <alignment vertical="center"/>
    </xf>
    <xf numFmtId="0" fontId="86" fillId="0" borderId="0">
      <alignment vertical="center"/>
    </xf>
    <xf numFmtId="0" fontId="19" fillId="6" borderId="0" applyNumberFormat="0" applyBorder="0" applyAlignment="0" applyProtection="0">
      <alignment vertical="center"/>
    </xf>
    <xf numFmtId="0" fontId="86" fillId="0" borderId="0">
      <alignment vertical="center"/>
    </xf>
    <xf numFmtId="0" fontId="19" fillId="6"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54" fillId="18" borderId="0" applyNumberFormat="0" applyBorder="0" applyAlignment="0" applyProtection="0">
      <alignment vertical="center"/>
    </xf>
    <xf numFmtId="0" fontId="86" fillId="0" borderId="0">
      <alignment vertical="center"/>
    </xf>
    <xf numFmtId="0" fontId="86" fillId="0" borderId="0">
      <alignment vertical="center"/>
    </xf>
    <xf numFmtId="0" fontId="19" fillId="15" borderId="0" applyNumberFormat="0" applyBorder="0" applyAlignment="0" applyProtection="0">
      <alignment vertical="center"/>
    </xf>
    <xf numFmtId="0" fontId="86" fillId="0" borderId="0">
      <alignment vertical="center"/>
    </xf>
    <xf numFmtId="0" fontId="86" fillId="0" borderId="0">
      <alignment vertical="center"/>
    </xf>
    <xf numFmtId="0" fontId="15" fillId="0" borderId="0">
      <alignment vertical="center"/>
    </xf>
    <xf numFmtId="0" fontId="19" fillId="5" borderId="0" applyNumberFormat="0" applyBorder="0" applyAlignment="0" applyProtection="0">
      <alignment vertical="center"/>
    </xf>
    <xf numFmtId="0" fontId="86" fillId="0" borderId="0">
      <alignment vertical="center"/>
    </xf>
    <xf numFmtId="0" fontId="6" fillId="0" borderId="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11" borderId="0" applyNumberFormat="0" applyBorder="0" applyAlignment="0" applyProtection="0">
      <alignment vertical="center"/>
    </xf>
    <xf numFmtId="0" fontId="19" fillId="23" borderId="0" applyNumberFormat="0" applyBorder="0" applyAlignment="0" applyProtection="0">
      <alignment vertical="center"/>
    </xf>
    <xf numFmtId="0" fontId="86" fillId="0" borderId="0">
      <alignment vertical="center"/>
    </xf>
    <xf numFmtId="0" fontId="54" fillId="18" borderId="0" applyNumberFormat="0" applyBorder="0" applyAlignment="0" applyProtection="0">
      <alignment vertical="center"/>
    </xf>
    <xf numFmtId="0" fontId="86" fillId="0" borderId="0">
      <alignment vertical="center"/>
    </xf>
    <xf numFmtId="0" fontId="19" fillId="21" borderId="0" applyNumberFormat="0" applyBorder="0" applyAlignment="0" applyProtection="0">
      <alignment vertical="center"/>
    </xf>
    <xf numFmtId="0" fontId="86" fillId="0" borderId="0">
      <alignment vertical="center"/>
    </xf>
    <xf numFmtId="0" fontId="86" fillId="0" borderId="0">
      <alignment vertical="center"/>
    </xf>
    <xf numFmtId="0" fontId="43" fillId="15" borderId="0" applyNumberFormat="0" applyBorder="0" applyAlignment="0" applyProtection="0">
      <alignment vertical="center"/>
    </xf>
    <xf numFmtId="0" fontId="40" fillId="5" borderId="0" applyNumberFormat="0" applyBorder="0" applyAlignment="0" applyProtection="0">
      <alignment vertical="center"/>
    </xf>
    <xf numFmtId="0" fontId="86" fillId="0" borderId="0">
      <alignment vertical="center"/>
    </xf>
    <xf numFmtId="0" fontId="54" fillId="9" borderId="0" applyNumberFormat="0" applyBorder="0" applyAlignment="0" applyProtection="0">
      <alignment vertical="center"/>
    </xf>
    <xf numFmtId="0" fontId="19" fillId="8" borderId="0" applyNumberFormat="0" applyBorder="0" applyAlignment="0" applyProtection="0">
      <alignment vertical="center"/>
    </xf>
    <xf numFmtId="0" fontId="86" fillId="0" borderId="0">
      <alignment vertical="center"/>
    </xf>
    <xf numFmtId="0" fontId="86" fillId="0" borderId="0">
      <alignment vertical="center"/>
    </xf>
    <xf numFmtId="0" fontId="19" fillId="18" borderId="0" applyNumberFormat="0" applyBorder="0" applyAlignment="0" applyProtection="0">
      <alignment vertical="center"/>
    </xf>
    <xf numFmtId="0" fontId="86" fillId="0" borderId="0">
      <alignment vertical="center"/>
    </xf>
    <xf numFmtId="0" fontId="19" fillId="18" borderId="0" applyNumberFormat="0" applyBorder="0" applyAlignment="0" applyProtection="0">
      <alignment vertical="center"/>
    </xf>
    <xf numFmtId="0" fontId="6" fillId="0" borderId="0">
      <alignment vertical="center"/>
    </xf>
    <xf numFmtId="0" fontId="86" fillId="0" borderId="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86" fillId="0" borderId="0">
      <alignment vertical="center"/>
    </xf>
    <xf numFmtId="0" fontId="53" fillId="0" borderId="0">
      <alignment horizontal="centerContinuous" vertical="center"/>
    </xf>
    <xf numFmtId="0" fontId="19" fillId="18" borderId="0" applyNumberFormat="0" applyBorder="0" applyAlignment="0" applyProtection="0">
      <alignment vertical="center"/>
    </xf>
    <xf numFmtId="0" fontId="6" fillId="0" borderId="0">
      <alignment vertical="center"/>
    </xf>
    <xf numFmtId="0" fontId="86" fillId="0" borderId="0">
      <alignment vertical="center"/>
    </xf>
    <xf numFmtId="0" fontId="19" fillId="5" borderId="0" applyNumberFormat="0" applyBorder="0" applyAlignment="0" applyProtection="0">
      <alignment vertical="center"/>
    </xf>
    <xf numFmtId="0" fontId="86" fillId="0" borderId="0">
      <alignment vertical="center"/>
    </xf>
    <xf numFmtId="0" fontId="86" fillId="0" borderId="0">
      <alignment vertical="center"/>
    </xf>
    <xf numFmtId="0" fontId="40" fillId="22" borderId="0" applyNumberFormat="0" applyBorder="0" applyAlignment="0" applyProtection="0">
      <alignment vertical="center"/>
    </xf>
    <xf numFmtId="0" fontId="55" fillId="0" borderId="33" applyNumberFormat="0" applyFill="0" applyAlignment="0" applyProtection="0">
      <alignment vertical="center"/>
    </xf>
    <xf numFmtId="0" fontId="2" fillId="0" borderId="0">
      <alignment vertical="center"/>
    </xf>
    <xf numFmtId="0" fontId="56" fillId="0" borderId="34" applyNumberFormat="0" applyFill="0" applyAlignment="0" applyProtection="0">
      <alignment vertical="center"/>
    </xf>
    <xf numFmtId="0" fontId="86" fillId="0" borderId="0">
      <alignment vertical="center"/>
    </xf>
    <xf numFmtId="0" fontId="86" fillId="0" borderId="0">
      <alignment vertical="center"/>
    </xf>
    <xf numFmtId="0" fontId="19" fillId="8" borderId="0" applyNumberFormat="0" applyBorder="0" applyAlignment="0" applyProtection="0">
      <alignment vertical="center"/>
    </xf>
    <xf numFmtId="0" fontId="86" fillId="0" borderId="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86" fillId="0" borderId="0">
      <alignment vertical="center"/>
    </xf>
    <xf numFmtId="0" fontId="44" fillId="0" borderId="0">
      <alignment vertical="center"/>
    </xf>
    <xf numFmtId="0" fontId="86" fillId="0" borderId="0">
      <alignment vertical="center"/>
    </xf>
    <xf numFmtId="9" fontId="6" fillId="0" borderId="0" applyFont="0" applyFill="0" applyBorder="0" applyAlignment="0" applyProtection="0">
      <alignment vertical="center"/>
    </xf>
    <xf numFmtId="0" fontId="86" fillId="0" borderId="0">
      <alignment vertical="center"/>
    </xf>
    <xf numFmtId="0" fontId="52" fillId="0" borderId="0">
      <alignment vertical="center"/>
    </xf>
    <xf numFmtId="0" fontId="15" fillId="0" borderId="0">
      <alignment vertical="center"/>
    </xf>
    <xf numFmtId="0" fontId="6" fillId="0" borderId="0">
      <alignment vertical="center"/>
    </xf>
    <xf numFmtId="0" fontId="86" fillId="0" borderId="0">
      <alignment vertical="center"/>
    </xf>
    <xf numFmtId="0" fontId="40" fillId="16" borderId="0" applyNumberFormat="0" applyBorder="0" applyAlignment="0" applyProtection="0">
      <alignment vertical="center"/>
    </xf>
    <xf numFmtId="0" fontId="6" fillId="0" borderId="0">
      <alignment vertical="center"/>
    </xf>
    <xf numFmtId="0" fontId="86" fillId="0" borderId="0">
      <alignment vertical="center"/>
    </xf>
    <xf numFmtId="0" fontId="19" fillId="10" borderId="0" applyNumberFormat="0" applyBorder="0" applyAlignment="0" applyProtection="0">
      <alignment vertical="center"/>
    </xf>
    <xf numFmtId="0" fontId="44" fillId="0" borderId="0">
      <alignment vertical="center"/>
    </xf>
    <xf numFmtId="0" fontId="86" fillId="0" borderId="0">
      <alignment vertical="center"/>
    </xf>
    <xf numFmtId="0" fontId="19" fillId="10" borderId="0" applyNumberFormat="0" applyBorder="0" applyAlignment="0" applyProtection="0">
      <alignment vertical="center"/>
    </xf>
    <xf numFmtId="0" fontId="86" fillId="0" borderId="0">
      <alignment vertical="center"/>
    </xf>
    <xf numFmtId="0" fontId="44" fillId="0" borderId="0">
      <alignment vertical="center"/>
    </xf>
    <xf numFmtId="0" fontId="44" fillId="0" borderId="0">
      <alignment vertical="center"/>
    </xf>
    <xf numFmtId="0" fontId="6" fillId="0" borderId="0" applyNumberFormat="0" applyFont="0" applyFill="0" applyBorder="0" applyProtection="0">
      <alignment vertical="center"/>
    </xf>
    <xf numFmtId="0" fontId="19" fillId="10" borderId="0" applyNumberFormat="0" applyBorder="0" applyAlignment="0" applyProtection="0">
      <alignment vertical="center"/>
    </xf>
    <xf numFmtId="0" fontId="44" fillId="0" borderId="0">
      <alignment vertical="center"/>
    </xf>
    <xf numFmtId="0" fontId="19" fillId="15" borderId="0" applyNumberFormat="0" applyBorder="0" applyAlignment="0" applyProtection="0">
      <alignment vertical="center"/>
    </xf>
    <xf numFmtId="0" fontId="6" fillId="0" borderId="0"/>
    <xf numFmtId="0" fontId="86" fillId="0" borderId="0">
      <alignment vertical="center"/>
    </xf>
    <xf numFmtId="0" fontId="44" fillId="0" borderId="0">
      <alignment vertical="center"/>
    </xf>
    <xf numFmtId="0" fontId="19" fillId="10" borderId="0" applyNumberFormat="0" applyBorder="0" applyAlignment="0" applyProtection="0">
      <alignment vertical="center"/>
    </xf>
    <xf numFmtId="0" fontId="86" fillId="0" borderId="0">
      <alignment vertical="center"/>
    </xf>
    <xf numFmtId="0" fontId="44" fillId="0" borderId="0">
      <alignment vertical="center"/>
    </xf>
    <xf numFmtId="0" fontId="86" fillId="0" borderId="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44" fillId="0" borderId="0">
      <alignment vertical="center"/>
    </xf>
    <xf numFmtId="0" fontId="19" fillId="10" borderId="0" applyNumberFormat="0" applyBorder="0" applyAlignment="0" applyProtection="0">
      <alignment vertical="center"/>
    </xf>
    <xf numFmtId="0" fontId="86" fillId="0" borderId="0">
      <alignment vertical="center"/>
    </xf>
    <xf numFmtId="0" fontId="40" fillId="22"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19" fillId="16" borderId="0" applyNumberFormat="0" applyBorder="0" applyAlignment="0" applyProtection="0">
      <alignment vertical="center"/>
    </xf>
    <xf numFmtId="0" fontId="19" fillId="2" borderId="0" applyNumberFormat="0" applyBorder="0" applyAlignment="0" applyProtection="0">
      <alignment vertical="center"/>
    </xf>
    <xf numFmtId="0" fontId="19" fillId="16" borderId="0" applyNumberFormat="0" applyBorder="0" applyAlignment="0" applyProtection="0">
      <alignment vertical="center"/>
    </xf>
    <xf numFmtId="0" fontId="19" fillId="2" borderId="0" applyNumberFormat="0" applyBorder="0" applyAlignment="0" applyProtection="0">
      <alignment vertical="center"/>
    </xf>
    <xf numFmtId="0" fontId="86" fillId="0" borderId="0">
      <alignment vertical="center"/>
    </xf>
    <xf numFmtId="0" fontId="19" fillId="16" borderId="0" applyNumberFormat="0" applyBorder="0" applyAlignment="0" applyProtection="0">
      <alignment vertical="center"/>
    </xf>
    <xf numFmtId="0" fontId="19" fillId="2"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19" fillId="2" borderId="0" applyNumberFormat="0" applyBorder="0" applyAlignment="0" applyProtection="0">
      <alignment vertical="center"/>
    </xf>
    <xf numFmtId="0" fontId="6" fillId="0" borderId="0" applyNumberFormat="0" applyFont="0" applyFill="0" applyBorder="0" applyProtection="0">
      <alignment vertical="center"/>
    </xf>
    <xf numFmtId="0" fontId="40" fillId="16" borderId="0" applyNumberFormat="0" applyBorder="0" applyAlignment="0" applyProtection="0">
      <alignment vertical="center"/>
    </xf>
    <xf numFmtId="0" fontId="86" fillId="0" borderId="0">
      <alignment vertical="center"/>
    </xf>
    <xf numFmtId="0" fontId="86" fillId="0" borderId="0">
      <alignment vertical="center"/>
    </xf>
    <xf numFmtId="0" fontId="19" fillId="2"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19" fillId="16" borderId="0" applyNumberFormat="0" applyBorder="0" applyAlignment="0" applyProtection="0">
      <alignment vertical="center"/>
    </xf>
    <xf numFmtId="0" fontId="19" fillId="2" borderId="0" applyNumberFormat="0" applyBorder="0" applyAlignment="0" applyProtection="0">
      <alignment vertical="center"/>
    </xf>
    <xf numFmtId="0" fontId="86" fillId="0" borderId="0">
      <alignment vertical="center"/>
    </xf>
    <xf numFmtId="0" fontId="86" fillId="0" borderId="0">
      <alignment vertical="center"/>
    </xf>
    <xf numFmtId="0" fontId="61" fillId="0" borderId="37" applyNumberFormat="0" applyFill="0" applyAlignment="0" applyProtection="0">
      <alignment vertical="center"/>
    </xf>
    <xf numFmtId="0" fontId="19" fillId="16" borderId="0" applyNumberFormat="0" applyBorder="0" applyAlignment="0" applyProtection="0">
      <alignment vertical="center"/>
    </xf>
    <xf numFmtId="0" fontId="86" fillId="0" borderId="0">
      <alignment vertical="center"/>
    </xf>
    <xf numFmtId="0" fontId="19" fillId="2" borderId="0" applyNumberFormat="0" applyBorder="0" applyAlignment="0" applyProtection="0">
      <alignment vertical="center"/>
    </xf>
    <xf numFmtId="0" fontId="86" fillId="0" borderId="0">
      <alignment vertical="center"/>
    </xf>
    <xf numFmtId="0" fontId="40" fillId="20" borderId="0" applyNumberFormat="0" applyBorder="0" applyAlignment="0" applyProtection="0">
      <alignment vertical="center"/>
    </xf>
    <xf numFmtId="0" fontId="19" fillId="16" borderId="0" applyNumberFormat="0" applyBorder="0" applyAlignment="0" applyProtection="0">
      <alignment vertical="center"/>
    </xf>
    <xf numFmtId="0" fontId="19" fillId="10" borderId="0" applyNumberFormat="0" applyBorder="0" applyAlignment="0" applyProtection="0">
      <alignment vertical="center"/>
    </xf>
    <xf numFmtId="0" fontId="62" fillId="0" borderId="38" applyNumberFormat="0" applyFill="0" applyAlignment="0" applyProtection="0">
      <alignment vertical="center"/>
    </xf>
    <xf numFmtId="0" fontId="19" fillId="10" borderId="0" applyNumberFormat="0" applyBorder="0" applyAlignment="0" applyProtection="0">
      <alignment vertical="center"/>
    </xf>
    <xf numFmtId="0" fontId="43" fillId="15"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43" fillId="15"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86" fillId="0" borderId="0">
      <alignment vertical="center"/>
    </xf>
    <xf numFmtId="0" fontId="19" fillId="10" borderId="0" applyNumberFormat="0" applyBorder="0" applyAlignment="0" applyProtection="0">
      <alignment vertical="center"/>
    </xf>
    <xf numFmtId="0" fontId="86" fillId="0" borderId="0">
      <alignment vertical="center"/>
    </xf>
    <xf numFmtId="0" fontId="86" fillId="0" borderId="0">
      <alignment vertical="center"/>
    </xf>
    <xf numFmtId="0" fontId="54" fillId="18" borderId="0" applyNumberFormat="0" applyBorder="0" applyAlignment="0" applyProtection="0">
      <alignment vertical="center"/>
    </xf>
    <xf numFmtId="0" fontId="40" fillId="13"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9" fontId="6" fillId="0" borderId="0" applyFont="0" applyFill="0" applyBorder="0" applyAlignment="0" applyProtection="0">
      <alignment vertical="center"/>
    </xf>
    <xf numFmtId="0" fontId="19" fillId="13" borderId="0" applyNumberFormat="0" applyBorder="0" applyAlignment="0" applyProtection="0">
      <alignment vertical="center"/>
    </xf>
    <xf numFmtId="0" fontId="86" fillId="0" borderId="0">
      <alignment vertical="center"/>
    </xf>
    <xf numFmtId="0" fontId="40" fillId="12"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0" fillId="16" borderId="0" applyNumberFormat="0" applyBorder="0" applyAlignment="0" applyProtection="0">
      <alignment vertical="center"/>
    </xf>
    <xf numFmtId="0" fontId="86" fillId="0" borderId="0">
      <alignment vertical="center"/>
    </xf>
    <xf numFmtId="0" fontId="40" fillId="12"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40" fillId="16"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40" fillId="16"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40" fillId="18" borderId="0" applyNumberFormat="0" applyBorder="0" applyAlignment="0" applyProtection="0">
      <alignment vertical="center"/>
    </xf>
    <xf numFmtId="0" fontId="19" fillId="0" borderId="0">
      <alignment vertical="center"/>
    </xf>
    <xf numFmtId="0" fontId="19" fillId="13" borderId="0" applyNumberFormat="0" applyBorder="0" applyAlignment="0" applyProtection="0">
      <alignment vertical="center"/>
    </xf>
    <xf numFmtId="0" fontId="40" fillId="18"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40" fillId="20" borderId="0" applyNumberFormat="0" applyBorder="0" applyAlignment="0" applyProtection="0">
      <alignment vertical="center"/>
    </xf>
    <xf numFmtId="0" fontId="86" fillId="0" borderId="0">
      <alignment vertical="center"/>
    </xf>
    <xf numFmtId="0" fontId="40" fillId="5" borderId="0" applyNumberFormat="0" applyBorder="0" applyAlignment="0" applyProtection="0">
      <alignment vertical="center"/>
    </xf>
    <xf numFmtId="0" fontId="6" fillId="0" borderId="0" applyNumberFormat="0" applyFont="0" applyFill="0" applyBorder="0" applyProtection="0">
      <alignment vertical="center"/>
    </xf>
    <xf numFmtId="0" fontId="19" fillId="15" borderId="0" applyNumberFormat="0" applyBorder="0" applyAlignment="0" applyProtection="0">
      <alignment vertical="center"/>
    </xf>
    <xf numFmtId="0" fontId="6" fillId="0" borderId="0">
      <alignment vertical="center"/>
    </xf>
    <xf numFmtId="0" fontId="6" fillId="0" borderId="0">
      <alignment vertical="center"/>
    </xf>
    <xf numFmtId="0" fontId="19" fillId="15" borderId="0" applyNumberFormat="0" applyBorder="0" applyAlignment="0" applyProtection="0">
      <alignment vertical="center"/>
    </xf>
    <xf numFmtId="0" fontId="6" fillId="0" borderId="0">
      <alignment vertical="center"/>
    </xf>
    <xf numFmtId="0" fontId="6" fillId="0" borderId="0">
      <alignment vertical="center"/>
    </xf>
    <xf numFmtId="0" fontId="19" fillId="15" borderId="0" applyNumberFormat="0" applyBorder="0" applyAlignment="0" applyProtection="0">
      <alignment vertical="center"/>
    </xf>
    <xf numFmtId="0" fontId="6" fillId="0" borderId="0">
      <alignment vertical="center"/>
    </xf>
    <xf numFmtId="0" fontId="6" fillId="0" borderId="0">
      <alignment vertical="center"/>
    </xf>
    <xf numFmtId="0" fontId="19" fillId="15" borderId="0" applyNumberFormat="0" applyBorder="0" applyAlignment="0" applyProtection="0">
      <alignment vertical="center"/>
    </xf>
    <xf numFmtId="0" fontId="6" fillId="0" borderId="0">
      <alignment vertical="center"/>
    </xf>
    <xf numFmtId="0" fontId="6" fillId="0" borderId="0">
      <alignment vertical="center"/>
    </xf>
    <xf numFmtId="0" fontId="86" fillId="0" borderId="0">
      <alignment vertical="center"/>
    </xf>
    <xf numFmtId="0" fontId="19" fillId="15" borderId="0" applyNumberFormat="0" applyBorder="0" applyAlignment="0" applyProtection="0">
      <alignment vertical="center"/>
    </xf>
    <xf numFmtId="0" fontId="6" fillId="0" borderId="0">
      <alignment vertical="center"/>
    </xf>
    <xf numFmtId="0" fontId="2" fillId="0" borderId="0"/>
    <xf numFmtId="0" fontId="86" fillId="0" borderId="0">
      <alignment vertical="center"/>
    </xf>
    <xf numFmtId="0" fontId="19" fillId="15" borderId="0" applyNumberFormat="0" applyBorder="0" applyAlignment="0" applyProtection="0">
      <alignment vertical="center"/>
    </xf>
    <xf numFmtId="0" fontId="86" fillId="0" borderId="0">
      <alignment vertical="center"/>
    </xf>
    <xf numFmtId="0" fontId="19" fillId="15" borderId="0" applyNumberFormat="0" applyBorder="0" applyAlignment="0" applyProtection="0">
      <alignment vertical="center"/>
    </xf>
    <xf numFmtId="0" fontId="19" fillId="17" borderId="0" applyNumberFormat="0" applyBorder="0" applyAlignment="0" applyProtection="0">
      <alignment vertical="center"/>
    </xf>
    <xf numFmtId="0" fontId="86" fillId="0" borderId="0">
      <alignment vertical="center"/>
    </xf>
    <xf numFmtId="0" fontId="19" fillId="6" borderId="0" applyNumberFormat="0" applyBorder="0" applyAlignment="0" applyProtection="0">
      <alignment vertical="center"/>
    </xf>
    <xf numFmtId="0" fontId="86" fillId="0" borderId="0">
      <alignment vertical="center"/>
    </xf>
    <xf numFmtId="0" fontId="19" fillId="15" borderId="0" applyNumberFormat="0" applyBorder="0" applyAlignment="0" applyProtection="0">
      <alignment vertical="center"/>
    </xf>
    <xf numFmtId="0" fontId="86" fillId="0" borderId="0">
      <alignment vertical="center"/>
    </xf>
    <xf numFmtId="0" fontId="19" fillId="15" borderId="0" applyNumberFormat="0" applyBorder="0" applyAlignment="0" applyProtection="0">
      <alignment vertical="center"/>
    </xf>
    <xf numFmtId="0" fontId="86" fillId="0" borderId="0"/>
    <xf numFmtId="0" fontId="86" fillId="0" borderId="0">
      <alignment vertical="center"/>
    </xf>
    <xf numFmtId="0" fontId="19" fillId="8" borderId="0" applyNumberFormat="0" applyBorder="0" applyAlignment="0" applyProtection="0">
      <alignment vertical="center"/>
    </xf>
    <xf numFmtId="0" fontId="86" fillId="0" borderId="0">
      <alignment vertical="center"/>
    </xf>
    <xf numFmtId="0" fontId="19" fillId="8" borderId="0" applyNumberFormat="0" applyBorder="0" applyAlignment="0" applyProtection="0">
      <alignment vertical="center"/>
    </xf>
    <xf numFmtId="0" fontId="86" fillId="0" borderId="0">
      <alignment vertical="center"/>
    </xf>
    <xf numFmtId="0" fontId="49" fillId="0" borderId="32" applyNumberFormat="0" applyFill="0" applyAlignment="0" applyProtection="0">
      <alignment vertical="center"/>
    </xf>
    <xf numFmtId="0" fontId="86" fillId="0" borderId="0">
      <alignment vertical="center"/>
    </xf>
    <xf numFmtId="0" fontId="19" fillId="8" borderId="0" applyNumberFormat="0" applyBorder="0" applyAlignment="0" applyProtection="0">
      <alignment vertical="center"/>
    </xf>
    <xf numFmtId="9" fontId="6" fillId="0" borderId="0" applyFont="0" applyFill="0" applyBorder="0" applyAlignment="0" applyProtection="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19" fillId="11" borderId="0" applyNumberFormat="0" applyBorder="0" applyAlignment="0" applyProtection="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43" fillId="15" borderId="0" applyNumberFormat="0" applyBorder="0" applyAlignment="0" applyProtection="0">
      <alignment vertical="center"/>
    </xf>
    <xf numFmtId="0" fontId="19" fillId="11" borderId="0" applyNumberFormat="0" applyBorder="0" applyAlignment="0" applyProtection="0">
      <alignment vertical="center"/>
    </xf>
    <xf numFmtId="0" fontId="86" fillId="0" borderId="0">
      <alignment vertical="center"/>
    </xf>
    <xf numFmtId="0" fontId="86" fillId="0" borderId="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11" borderId="0" applyNumberFormat="0" applyBorder="0" applyAlignment="0" applyProtection="0">
      <alignment vertical="center"/>
    </xf>
    <xf numFmtId="0" fontId="86" fillId="0" borderId="0">
      <alignment vertical="center"/>
    </xf>
    <xf numFmtId="0" fontId="86" fillId="0" borderId="0">
      <alignment vertical="center"/>
    </xf>
    <xf numFmtId="0" fontId="19" fillId="11" borderId="0" applyNumberFormat="0" applyBorder="0" applyAlignment="0" applyProtection="0">
      <alignment vertical="center"/>
    </xf>
    <xf numFmtId="0" fontId="86" fillId="0" borderId="0">
      <alignment vertical="center"/>
    </xf>
    <xf numFmtId="0" fontId="86" fillId="0" borderId="0">
      <alignment vertical="center"/>
    </xf>
    <xf numFmtId="0" fontId="63" fillId="0" borderId="0" applyNumberFormat="0" applyFill="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86" fillId="0" borderId="0">
      <alignment vertical="center"/>
    </xf>
    <xf numFmtId="0" fontId="86" fillId="0" borderId="0">
      <alignment vertical="center"/>
    </xf>
    <xf numFmtId="0" fontId="19" fillId="8" borderId="0" applyNumberFormat="0" applyBorder="0" applyAlignment="0" applyProtection="0">
      <alignment vertical="center"/>
    </xf>
    <xf numFmtId="0" fontId="86" fillId="0" borderId="0">
      <alignment vertical="center"/>
    </xf>
    <xf numFmtId="0" fontId="86" fillId="0" borderId="0">
      <alignment vertical="center"/>
    </xf>
    <xf numFmtId="0" fontId="19" fillId="8" borderId="0" applyNumberFormat="0" applyBorder="0" applyAlignment="0" applyProtection="0">
      <alignment vertical="center"/>
    </xf>
    <xf numFmtId="0" fontId="86" fillId="0" borderId="0">
      <alignment vertical="center"/>
    </xf>
    <xf numFmtId="0" fontId="61" fillId="0" borderId="33" applyNumberFormat="0" applyFill="0" applyAlignment="0" applyProtection="0">
      <alignment vertical="center"/>
    </xf>
    <xf numFmtId="0" fontId="19" fillId="23"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19" fillId="8"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8" borderId="0" applyNumberFormat="0" applyBorder="0" applyAlignment="0" applyProtection="0">
      <alignment vertical="center"/>
    </xf>
    <xf numFmtId="0" fontId="55" fillId="0" borderId="33" applyNumberFormat="0" applyFill="0" applyAlignment="0" applyProtection="0">
      <alignment vertical="center"/>
    </xf>
    <xf numFmtId="0" fontId="86" fillId="0" borderId="0">
      <alignment vertical="center"/>
    </xf>
    <xf numFmtId="0" fontId="86" fillId="0" borderId="0">
      <alignment vertical="center"/>
    </xf>
    <xf numFmtId="0" fontId="19" fillId="8"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86" fillId="0" borderId="0">
      <alignment vertical="center"/>
    </xf>
    <xf numFmtId="0" fontId="86" fillId="0" borderId="0">
      <alignment vertical="center"/>
    </xf>
    <xf numFmtId="0" fontId="40" fillId="12" borderId="0" applyNumberFormat="0" applyBorder="0" applyAlignment="0" applyProtection="0">
      <alignment vertical="center"/>
    </xf>
    <xf numFmtId="0" fontId="86" fillId="0" borderId="0">
      <alignment vertical="center"/>
    </xf>
    <xf numFmtId="0" fontId="19" fillId="8" borderId="0" applyNumberFormat="0" applyBorder="0" applyAlignment="0" applyProtection="0">
      <alignment vertical="center"/>
    </xf>
    <xf numFmtId="0" fontId="86" fillId="0" borderId="0">
      <alignment vertical="center"/>
    </xf>
    <xf numFmtId="0" fontId="40" fillId="12" borderId="0" applyNumberFormat="0" applyBorder="0" applyAlignment="0" applyProtection="0">
      <alignment vertical="center"/>
    </xf>
    <xf numFmtId="0" fontId="86" fillId="0" borderId="0">
      <alignment vertical="center"/>
    </xf>
    <xf numFmtId="0" fontId="19" fillId="8" borderId="0" applyNumberFormat="0" applyBorder="0" applyAlignment="0" applyProtection="0">
      <alignment vertical="center"/>
    </xf>
    <xf numFmtId="0" fontId="86" fillId="0" borderId="0">
      <alignment vertical="center"/>
    </xf>
    <xf numFmtId="0" fontId="40" fillId="18" borderId="0" applyNumberFormat="0" applyBorder="0" applyAlignment="0" applyProtection="0">
      <alignment vertical="center"/>
    </xf>
    <xf numFmtId="0" fontId="86" fillId="0" borderId="0">
      <alignment vertical="center"/>
    </xf>
    <xf numFmtId="0" fontId="86" fillId="0" borderId="0">
      <alignment vertical="center"/>
    </xf>
    <xf numFmtId="0" fontId="19" fillId="8"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19" fillId="2" borderId="0" applyNumberFormat="0" applyBorder="0" applyAlignment="0" applyProtection="0">
      <alignment vertical="center"/>
    </xf>
    <xf numFmtId="0" fontId="54" fillId="22"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2" borderId="0" applyNumberFormat="0" applyBorder="0" applyAlignment="0" applyProtection="0">
      <alignment vertical="center"/>
    </xf>
    <xf numFmtId="0" fontId="86" fillId="0" borderId="0">
      <alignment vertical="center"/>
    </xf>
    <xf numFmtId="0" fontId="19" fillId="2" borderId="0" applyNumberFormat="0" applyBorder="0" applyAlignment="0" applyProtection="0">
      <alignment vertical="center"/>
    </xf>
    <xf numFmtId="0" fontId="60" fillId="0" borderId="0">
      <alignment vertical="center"/>
    </xf>
    <xf numFmtId="0" fontId="86" fillId="0" borderId="0">
      <alignment vertical="center"/>
    </xf>
    <xf numFmtId="0" fontId="40" fillId="12" borderId="0" applyNumberFormat="0" applyBorder="0" applyAlignment="0" applyProtection="0">
      <alignment vertical="center"/>
    </xf>
    <xf numFmtId="0" fontId="19" fillId="2"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60" fillId="0" borderId="0"/>
    <xf numFmtId="0" fontId="19" fillId="2"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50" fillId="0" borderId="35" applyNumberFormat="0" applyFill="0" applyAlignment="0" applyProtection="0">
      <alignment vertical="center"/>
    </xf>
    <xf numFmtId="0" fontId="19" fillId="2"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86" fillId="0" borderId="0">
      <alignment vertical="center"/>
    </xf>
    <xf numFmtId="0" fontId="40" fillId="22"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54" fillId="21"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86" fillId="0" borderId="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54" fillId="16" borderId="0" applyNumberFormat="0" applyBorder="0" applyAlignment="0" applyProtection="0">
      <alignment vertical="center"/>
    </xf>
    <xf numFmtId="0" fontId="86" fillId="0" borderId="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40" fillId="16"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19" fillId="6" borderId="0" applyNumberFormat="0" applyBorder="0" applyAlignment="0" applyProtection="0">
      <alignment vertical="center"/>
    </xf>
    <xf numFmtId="0" fontId="86" fillId="0" borderId="0">
      <alignment vertical="center"/>
    </xf>
    <xf numFmtId="0" fontId="86" fillId="0" borderId="0">
      <alignment vertical="center"/>
    </xf>
    <xf numFmtId="0" fontId="19" fillId="6" borderId="0" applyNumberFormat="0" applyBorder="0" applyAlignment="0" applyProtection="0">
      <alignment vertical="center"/>
    </xf>
    <xf numFmtId="0" fontId="19" fillId="13"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6" borderId="0" applyNumberFormat="0" applyBorder="0" applyAlignment="0" applyProtection="0">
      <alignment vertical="center"/>
    </xf>
    <xf numFmtId="0" fontId="86" fillId="0" borderId="0">
      <alignment vertical="center"/>
    </xf>
    <xf numFmtId="0" fontId="86" fillId="0" borderId="0">
      <alignment vertical="center"/>
    </xf>
    <xf numFmtId="0" fontId="19" fillId="6"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86" fillId="0" borderId="0">
      <alignment vertical="center"/>
    </xf>
    <xf numFmtId="0" fontId="86" fillId="0" borderId="0">
      <alignment vertical="center"/>
    </xf>
    <xf numFmtId="0" fontId="40" fillId="9"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86" fillId="0" borderId="0">
      <alignment vertical="center"/>
    </xf>
    <xf numFmtId="0" fontId="6" fillId="0" borderId="0" applyNumberFormat="0" applyFont="0" applyFill="0" applyBorder="0" applyProtection="0">
      <alignment vertical="center"/>
    </xf>
    <xf numFmtId="0" fontId="19" fillId="6" borderId="0" applyNumberFormat="0" applyBorder="0" applyAlignment="0" applyProtection="0">
      <alignment vertical="center"/>
    </xf>
    <xf numFmtId="0" fontId="64"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19" fillId="6"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6" borderId="0" applyNumberFormat="0" applyBorder="0" applyAlignment="0" applyProtection="0">
      <alignment vertical="center"/>
    </xf>
    <xf numFmtId="0" fontId="86" fillId="0" borderId="0">
      <alignment vertical="center"/>
    </xf>
    <xf numFmtId="0" fontId="86" fillId="0" borderId="0">
      <alignment vertical="center"/>
    </xf>
    <xf numFmtId="0" fontId="56" fillId="0" borderId="34" applyNumberFormat="0" applyFill="0" applyAlignment="0" applyProtection="0">
      <alignment vertical="center"/>
    </xf>
    <xf numFmtId="0" fontId="86" fillId="0" borderId="0">
      <alignment vertical="center"/>
    </xf>
    <xf numFmtId="0" fontId="19" fillId="6" borderId="0" applyNumberFormat="0" applyBorder="0" applyAlignment="0" applyProtection="0">
      <alignment vertical="center"/>
    </xf>
    <xf numFmtId="0" fontId="40" fillId="19"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19" fillId="6" borderId="0" applyNumberFormat="0" applyBorder="0" applyAlignment="0" applyProtection="0">
      <alignment vertical="center"/>
    </xf>
    <xf numFmtId="0" fontId="86" fillId="0" borderId="0">
      <alignment vertical="center"/>
    </xf>
    <xf numFmtId="0" fontId="40" fillId="5" borderId="0" applyNumberFormat="0" applyBorder="0" applyAlignment="0" applyProtection="0">
      <alignment vertical="center"/>
    </xf>
    <xf numFmtId="0" fontId="86" fillId="0" borderId="0">
      <alignment vertical="center"/>
    </xf>
    <xf numFmtId="0" fontId="6" fillId="0" borderId="0" applyNumberFormat="0" applyFont="0" applyFill="0" applyBorder="0" applyProtection="0">
      <alignment vertical="center"/>
    </xf>
    <xf numFmtId="0" fontId="19" fillId="6" borderId="0" applyNumberFormat="0" applyBorder="0" applyAlignment="0" applyProtection="0">
      <alignment vertical="center"/>
    </xf>
    <xf numFmtId="0" fontId="40" fillId="5" borderId="0" applyNumberFormat="0" applyBorder="0" applyAlignment="0" applyProtection="0">
      <alignment vertical="center"/>
    </xf>
    <xf numFmtId="0" fontId="86" fillId="0" borderId="0">
      <alignment vertical="center"/>
    </xf>
    <xf numFmtId="0" fontId="86" fillId="0" borderId="0">
      <alignment vertical="center"/>
    </xf>
    <xf numFmtId="0" fontId="19" fillId="6" borderId="0" applyNumberFormat="0" applyBorder="0" applyAlignment="0" applyProtection="0">
      <alignment vertical="center"/>
    </xf>
    <xf numFmtId="0" fontId="40" fillId="5" borderId="0" applyNumberFormat="0" applyBorder="0" applyAlignment="0" applyProtection="0">
      <alignment vertical="center"/>
    </xf>
    <xf numFmtId="0" fontId="86" fillId="0" borderId="0">
      <alignment vertical="center"/>
    </xf>
    <xf numFmtId="0" fontId="19" fillId="5" borderId="0" applyNumberFormat="0" applyBorder="0" applyAlignment="0" applyProtection="0">
      <alignment vertical="center"/>
    </xf>
    <xf numFmtId="0" fontId="86" fillId="0" borderId="0">
      <alignment vertical="center"/>
    </xf>
    <xf numFmtId="0" fontId="19" fillId="6" borderId="0" applyNumberFormat="0" applyBorder="0" applyAlignment="0" applyProtection="0">
      <alignment vertical="center"/>
    </xf>
    <xf numFmtId="0" fontId="86" fillId="0" borderId="0">
      <alignment vertical="center"/>
    </xf>
    <xf numFmtId="0" fontId="54" fillId="13"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54" fillId="13" borderId="0" applyNumberFormat="0" applyBorder="0" applyAlignment="0" applyProtection="0">
      <alignment vertical="center"/>
    </xf>
    <xf numFmtId="0" fontId="19" fillId="7" borderId="0" applyNumberFormat="0" applyBorder="0" applyAlignment="0" applyProtection="0">
      <alignment vertical="center"/>
    </xf>
    <xf numFmtId="0" fontId="86" fillId="0" borderId="0">
      <alignment vertical="center"/>
    </xf>
    <xf numFmtId="0" fontId="86" fillId="0" borderId="0">
      <alignment vertical="center"/>
    </xf>
    <xf numFmtId="0" fontId="2" fillId="0" borderId="0">
      <alignment vertical="center"/>
    </xf>
    <xf numFmtId="0" fontId="19" fillId="13"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86" fillId="0" borderId="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86" fillId="0" borderId="0">
      <alignment vertical="center"/>
    </xf>
    <xf numFmtId="0" fontId="2" fillId="0" borderId="0"/>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9" fontId="86" fillId="0" borderId="0" applyFont="0" applyFill="0" applyBorder="0" applyAlignment="0" applyProtection="0"/>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6" fillId="0" borderId="0" applyNumberFormat="0" applyFont="0" applyFill="0" applyBorder="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86" fillId="0" borderId="0">
      <alignment vertical="center"/>
    </xf>
    <xf numFmtId="0" fontId="19" fillId="11" borderId="0" applyNumberFormat="0" applyBorder="0" applyAlignment="0" applyProtection="0">
      <alignment vertical="center"/>
    </xf>
    <xf numFmtId="0" fontId="48" fillId="13" borderId="31" applyNumberFormat="0" applyAlignment="0" applyProtection="0">
      <alignment vertical="center"/>
    </xf>
    <xf numFmtId="0" fontId="40" fillId="20" borderId="0" applyNumberFormat="0" applyBorder="0" applyAlignment="0" applyProtection="0">
      <alignment vertical="center"/>
    </xf>
    <xf numFmtId="0" fontId="86" fillId="0" borderId="0">
      <alignment vertical="center"/>
    </xf>
    <xf numFmtId="0" fontId="19" fillId="17" borderId="0" applyNumberFormat="0" applyBorder="0" applyAlignment="0" applyProtection="0">
      <alignment vertical="center"/>
    </xf>
    <xf numFmtId="0" fontId="86" fillId="0" borderId="0">
      <alignment vertical="center"/>
    </xf>
    <xf numFmtId="0" fontId="19" fillId="11" borderId="0" applyNumberFormat="0" applyBorder="0" applyAlignment="0" applyProtection="0">
      <alignment vertical="center"/>
    </xf>
    <xf numFmtId="0" fontId="86" fillId="0" borderId="0">
      <alignment vertical="center"/>
    </xf>
    <xf numFmtId="37" fontId="65" fillId="0" borderId="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37" fontId="65" fillId="0" borderId="0">
      <alignment vertical="center"/>
    </xf>
    <xf numFmtId="0" fontId="19" fillId="13" borderId="0" applyNumberFormat="0" applyBorder="0" applyAlignment="0" applyProtection="0">
      <alignment vertical="center"/>
    </xf>
    <xf numFmtId="0" fontId="86" fillId="0" borderId="0">
      <alignment vertical="center"/>
    </xf>
    <xf numFmtId="0" fontId="40" fillId="13" borderId="0" applyNumberFormat="0" applyBorder="0" applyAlignment="0" applyProtection="0">
      <alignment vertical="center"/>
    </xf>
    <xf numFmtId="0" fontId="19" fillId="11" borderId="0" applyNumberFormat="0" applyBorder="0" applyAlignment="0" applyProtection="0">
      <alignment vertical="center"/>
    </xf>
    <xf numFmtId="0" fontId="19" fillId="23" borderId="0" applyNumberFormat="0" applyBorder="0" applyAlignment="0" applyProtection="0">
      <alignment vertical="center"/>
    </xf>
    <xf numFmtId="0" fontId="40" fillId="19" borderId="0" applyNumberFormat="0" applyBorder="0" applyAlignment="0" applyProtection="0">
      <alignment vertical="center"/>
    </xf>
    <xf numFmtId="0" fontId="86" fillId="0" borderId="0">
      <alignment vertical="center"/>
    </xf>
    <xf numFmtId="0" fontId="86" fillId="0" borderId="0">
      <alignment vertical="center"/>
    </xf>
    <xf numFmtId="0" fontId="19" fillId="13" borderId="0" applyNumberFormat="0" applyBorder="0" applyAlignment="0" applyProtection="0">
      <alignment vertical="center"/>
    </xf>
    <xf numFmtId="0" fontId="40" fillId="19" borderId="0" applyNumberFormat="0" applyBorder="0" applyAlignment="0" applyProtection="0">
      <alignment vertical="center"/>
    </xf>
    <xf numFmtId="0" fontId="19" fillId="17"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86" fillId="0" borderId="0">
      <alignment vertical="center"/>
    </xf>
    <xf numFmtId="0" fontId="19" fillId="18"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6" fillId="0" borderId="0">
      <alignment vertical="center"/>
    </xf>
    <xf numFmtId="0" fontId="6" fillId="0" borderId="0">
      <alignment vertical="center"/>
    </xf>
    <xf numFmtId="0" fontId="86" fillId="0" borderId="0">
      <alignment vertical="center"/>
    </xf>
    <xf numFmtId="0" fontId="86" fillId="0" borderId="0">
      <alignment vertical="center"/>
    </xf>
    <xf numFmtId="0" fontId="40" fillId="5" borderId="0" applyNumberFormat="0" applyBorder="0" applyAlignment="0" applyProtection="0">
      <alignment vertical="center"/>
    </xf>
    <xf numFmtId="0" fontId="86" fillId="0" borderId="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86" fillId="0" borderId="0">
      <alignment vertical="center"/>
    </xf>
    <xf numFmtId="0" fontId="55" fillId="0" borderId="33" applyNumberFormat="0" applyFill="0" applyAlignment="0" applyProtection="0">
      <alignment vertical="center"/>
    </xf>
    <xf numFmtId="0" fontId="86" fillId="0" borderId="0">
      <alignment vertical="center"/>
    </xf>
    <xf numFmtId="0" fontId="86" fillId="0" borderId="0">
      <alignment vertical="center"/>
    </xf>
    <xf numFmtId="0" fontId="86" fillId="0" borderId="0">
      <alignment vertical="center"/>
    </xf>
    <xf numFmtId="10" fontId="86" fillId="0" borderId="0" applyFont="0" applyFill="0" applyBorder="0" applyAlignment="0" applyProtection="0">
      <alignment vertical="center"/>
    </xf>
    <xf numFmtId="0" fontId="86" fillId="0" borderId="0">
      <alignment vertical="center"/>
    </xf>
    <xf numFmtId="0" fontId="19" fillId="17" borderId="0" applyNumberFormat="0" applyBorder="0" applyAlignment="0" applyProtection="0">
      <alignment vertical="center"/>
    </xf>
    <xf numFmtId="0" fontId="86" fillId="0" borderId="0">
      <alignment vertical="center"/>
    </xf>
    <xf numFmtId="0" fontId="19" fillId="1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0" borderId="0" applyNumberFormat="0" applyBorder="0" applyAlignment="0" applyProtection="0">
      <alignment vertical="center"/>
    </xf>
    <xf numFmtId="0" fontId="19" fillId="17"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86" fillId="0" borderId="0">
      <alignment vertical="center"/>
    </xf>
    <xf numFmtId="0" fontId="86" fillId="0" borderId="0">
      <alignment vertical="center"/>
    </xf>
    <xf numFmtId="0" fontId="19" fillId="17" borderId="0" applyNumberFormat="0" applyBorder="0" applyAlignment="0" applyProtection="0">
      <alignment vertical="center"/>
    </xf>
    <xf numFmtId="0" fontId="86" fillId="0" borderId="0">
      <alignment vertical="center"/>
    </xf>
    <xf numFmtId="0" fontId="19" fillId="17" borderId="0" applyNumberFormat="0" applyBorder="0" applyAlignment="0" applyProtection="0">
      <alignment vertical="center"/>
    </xf>
    <xf numFmtId="0" fontId="86" fillId="0" borderId="0">
      <alignment vertical="center"/>
    </xf>
    <xf numFmtId="0" fontId="86" fillId="0" borderId="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40" fillId="20" borderId="0" applyNumberFormat="0" applyBorder="0" applyAlignment="0" applyProtection="0">
      <alignment vertical="center"/>
    </xf>
    <xf numFmtId="0" fontId="86" fillId="0" borderId="0">
      <alignment vertical="center"/>
    </xf>
    <xf numFmtId="0" fontId="19" fillId="16" borderId="0" applyNumberFormat="0" applyBorder="0" applyAlignment="0" applyProtection="0">
      <alignment vertical="center"/>
    </xf>
    <xf numFmtId="0" fontId="49" fillId="0" borderId="32" applyNumberFormat="0" applyFill="0" applyAlignment="0" applyProtection="0">
      <alignment vertical="center"/>
    </xf>
    <xf numFmtId="0" fontId="86" fillId="0" borderId="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86" fillId="0" borderId="0">
      <alignment vertical="center"/>
    </xf>
    <xf numFmtId="0" fontId="19" fillId="16"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67" fillId="0" borderId="39" applyNumberFormat="0" applyFill="0" applyAlignment="0" applyProtection="0">
      <alignment vertical="center"/>
    </xf>
    <xf numFmtId="0" fontId="19" fillId="13" borderId="0" applyNumberFormat="0" applyBorder="0" applyAlignment="0" applyProtection="0">
      <alignment vertical="center"/>
    </xf>
    <xf numFmtId="0" fontId="86" fillId="0" borderId="0">
      <alignment vertical="center"/>
    </xf>
    <xf numFmtId="0" fontId="19" fillId="16" borderId="0" applyNumberFormat="0" applyBorder="0" applyAlignment="0" applyProtection="0">
      <alignment vertical="center"/>
    </xf>
    <xf numFmtId="0" fontId="86" fillId="0" borderId="0">
      <alignment vertical="center"/>
    </xf>
    <xf numFmtId="0" fontId="19" fillId="16" borderId="0" applyNumberFormat="0" applyBorder="0" applyAlignment="0" applyProtection="0">
      <alignment vertical="center"/>
    </xf>
    <xf numFmtId="0" fontId="86" fillId="0" borderId="0">
      <alignment vertical="center"/>
    </xf>
    <xf numFmtId="0" fontId="19" fillId="21" borderId="0" applyNumberFormat="0" applyBorder="0" applyAlignment="0" applyProtection="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86" fillId="0" borderId="0">
      <alignment vertical="center"/>
    </xf>
    <xf numFmtId="0" fontId="19" fillId="0" borderId="0">
      <alignment vertical="center"/>
    </xf>
    <xf numFmtId="0" fontId="6" fillId="0" borderId="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40" fillId="20"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5" borderId="0" applyNumberFormat="0" applyBorder="0" applyAlignment="0" applyProtection="0">
      <alignment vertical="center"/>
    </xf>
    <xf numFmtId="0" fontId="86" fillId="0" borderId="0">
      <alignment vertical="center"/>
    </xf>
    <xf numFmtId="0" fontId="15" fillId="0" borderId="0">
      <alignment vertical="center"/>
    </xf>
    <xf numFmtId="0" fontId="6" fillId="0" borderId="0">
      <alignment vertical="center"/>
    </xf>
    <xf numFmtId="0" fontId="19" fillId="5" borderId="0" applyNumberFormat="0" applyBorder="0" applyAlignment="0" applyProtection="0">
      <alignment vertical="center"/>
    </xf>
    <xf numFmtId="0" fontId="19" fillId="18" borderId="0" applyNumberFormat="0" applyBorder="0" applyAlignment="0" applyProtection="0">
      <alignment vertical="center"/>
    </xf>
    <xf numFmtId="0" fontId="86" fillId="0" borderId="0">
      <alignment vertical="center"/>
    </xf>
    <xf numFmtId="0" fontId="6" fillId="0" borderId="0">
      <alignment vertical="center"/>
    </xf>
    <xf numFmtId="0" fontId="6" fillId="0" borderId="0">
      <alignment vertical="center"/>
    </xf>
    <xf numFmtId="0" fontId="19" fillId="5" borderId="0" applyNumberFormat="0" applyBorder="0" applyAlignment="0" applyProtection="0">
      <alignment vertical="center"/>
    </xf>
    <xf numFmtId="0" fontId="40" fillId="20" borderId="0" applyNumberFormat="0" applyBorder="0" applyAlignment="0" applyProtection="0">
      <alignment vertical="center"/>
    </xf>
    <xf numFmtId="0" fontId="19" fillId="5" borderId="0" applyNumberFormat="0" applyBorder="0" applyAlignment="0" applyProtection="0">
      <alignment vertical="center"/>
    </xf>
    <xf numFmtId="0" fontId="86" fillId="0" borderId="0">
      <alignment vertical="center"/>
    </xf>
    <xf numFmtId="0" fontId="19" fillId="5" borderId="0" applyNumberFormat="0" applyBorder="0" applyAlignment="0" applyProtection="0">
      <alignment vertical="center"/>
    </xf>
    <xf numFmtId="0" fontId="86" fillId="0" borderId="0">
      <alignment vertical="center"/>
    </xf>
    <xf numFmtId="0" fontId="50" fillId="0" borderId="35" applyNumberFormat="0" applyFill="0" applyAlignment="0" applyProtection="0">
      <alignment vertical="center"/>
    </xf>
    <xf numFmtId="0" fontId="19" fillId="7" borderId="0" applyNumberFormat="0" applyBorder="0" applyAlignment="0" applyProtection="0">
      <alignment vertical="center"/>
    </xf>
    <xf numFmtId="0" fontId="86" fillId="0" borderId="0">
      <alignment vertical="center"/>
    </xf>
    <xf numFmtId="0" fontId="19" fillId="7" borderId="0" applyNumberFormat="0" applyBorder="0" applyAlignment="0" applyProtection="0">
      <alignment vertical="center"/>
    </xf>
    <xf numFmtId="0" fontId="86" fillId="0" borderId="0">
      <alignment vertical="center"/>
    </xf>
    <xf numFmtId="0" fontId="19" fillId="18" borderId="0" applyNumberFormat="0" applyBorder="0" applyAlignment="0" applyProtection="0">
      <alignment vertical="center"/>
    </xf>
    <xf numFmtId="0" fontId="86" fillId="0" borderId="0">
      <alignment vertical="center"/>
    </xf>
    <xf numFmtId="0" fontId="19" fillId="18" borderId="0" applyNumberFormat="0" applyBorder="0" applyAlignment="0" applyProtection="0">
      <alignment vertical="center"/>
    </xf>
    <xf numFmtId="0" fontId="86" fillId="0" borderId="0">
      <alignment vertical="center"/>
    </xf>
    <xf numFmtId="0" fontId="86" fillId="0" borderId="0">
      <alignment vertical="center"/>
    </xf>
    <xf numFmtId="0" fontId="40" fillId="20"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7" borderId="0" applyNumberFormat="0" applyBorder="0" applyAlignment="0" applyProtection="0">
      <alignment vertical="center"/>
    </xf>
    <xf numFmtId="0" fontId="19" fillId="1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7" borderId="0" applyNumberFormat="0" applyBorder="0" applyAlignment="0" applyProtection="0">
      <alignment vertical="center"/>
    </xf>
    <xf numFmtId="0" fontId="19" fillId="17" borderId="0" applyNumberFormat="0" applyBorder="0" applyAlignment="0" applyProtection="0">
      <alignment vertical="center"/>
    </xf>
    <xf numFmtId="0" fontId="86" fillId="0" borderId="0">
      <alignment vertical="center"/>
    </xf>
    <xf numFmtId="0" fontId="86" fillId="0" borderId="0">
      <alignment vertical="center"/>
    </xf>
    <xf numFmtId="0" fontId="40" fillId="19" borderId="0" applyNumberFormat="0" applyBorder="0" applyAlignment="0" applyProtection="0">
      <alignment vertical="center"/>
    </xf>
    <xf numFmtId="0" fontId="86" fillId="0" borderId="0">
      <alignment vertical="center"/>
    </xf>
    <xf numFmtId="0" fontId="19" fillId="17" borderId="0" applyNumberFormat="0" applyBorder="0" applyAlignment="0" applyProtection="0">
      <alignment vertical="center"/>
    </xf>
    <xf numFmtId="0" fontId="40" fillId="19" borderId="0" applyNumberFormat="0" applyBorder="0" applyAlignment="0" applyProtection="0">
      <alignment vertical="center"/>
    </xf>
    <xf numFmtId="0" fontId="86" fillId="0" borderId="0">
      <alignment vertical="center"/>
    </xf>
    <xf numFmtId="0" fontId="19" fillId="17" borderId="0" applyNumberFormat="0" applyBorder="0" applyAlignment="0" applyProtection="0">
      <alignment vertical="center"/>
    </xf>
    <xf numFmtId="0" fontId="19" fillId="0" borderId="0">
      <alignment vertical="center"/>
    </xf>
    <xf numFmtId="0" fontId="6" fillId="0" borderId="0">
      <alignment vertical="center"/>
    </xf>
    <xf numFmtId="0" fontId="40" fillId="19" borderId="0" applyNumberFormat="0" applyBorder="0" applyAlignment="0" applyProtection="0">
      <alignment vertical="center"/>
    </xf>
    <xf numFmtId="0" fontId="86" fillId="0" borderId="0">
      <alignment vertical="center"/>
    </xf>
    <xf numFmtId="0" fontId="86" fillId="0" borderId="0">
      <alignment vertical="center"/>
    </xf>
    <xf numFmtId="0" fontId="19" fillId="17" borderId="0" applyNumberFormat="0" applyBorder="0" applyAlignment="0" applyProtection="0">
      <alignment vertical="center"/>
    </xf>
    <xf numFmtId="0" fontId="46" fillId="8" borderId="0" applyNumberFormat="0" applyBorder="0" applyAlignment="0" applyProtection="0">
      <alignment vertical="center"/>
    </xf>
    <xf numFmtId="0" fontId="86" fillId="0" borderId="0">
      <alignment vertical="center"/>
    </xf>
    <xf numFmtId="0" fontId="86" fillId="0" borderId="0">
      <alignment vertical="center"/>
    </xf>
    <xf numFmtId="0" fontId="19" fillId="17" borderId="0" applyNumberFormat="0" applyBorder="0" applyAlignment="0" applyProtection="0">
      <alignment vertical="center"/>
    </xf>
    <xf numFmtId="0" fontId="86" fillId="0" borderId="0">
      <alignment vertical="center"/>
    </xf>
    <xf numFmtId="0" fontId="86" fillId="0" borderId="0">
      <alignment vertical="center"/>
    </xf>
    <xf numFmtId="0" fontId="68" fillId="0" borderId="0">
      <alignment vertical="center"/>
    </xf>
    <xf numFmtId="0" fontId="86" fillId="0" borderId="0">
      <alignment vertical="center"/>
    </xf>
    <xf numFmtId="0" fontId="86" fillId="0" borderId="0">
      <alignment vertical="center"/>
    </xf>
    <xf numFmtId="0" fontId="19" fillId="17" borderId="0" applyNumberFormat="0" applyBorder="0" applyAlignment="0" applyProtection="0">
      <alignment vertical="center"/>
    </xf>
    <xf numFmtId="0" fontId="40" fillId="19" borderId="0" applyNumberFormat="0" applyBorder="0" applyAlignment="0" applyProtection="0">
      <alignment vertical="center"/>
    </xf>
    <xf numFmtId="0" fontId="19" fillId="17" borderId="0" applyNumberFormat="0" applyBorder="0" applyAlignment="0" applyProtection="0">
      <alignment vertical="center"/>
    </xf>
    <xf numFmtId="0" fontId="86" fillId="0" borderId="0">
      <alignment vertical="center"/>
    </xf>
    <xf numFmtId="0" fontId="86" fillId="0" borderId="0">
      <alignment vertical="center"/>
    </xf>
    <xf numFmtId="0" fontId="50" fillId="0" borderId="35" applyNumberFormat="0" applyFill="0" applyAlignment="0" applyProtection="0">
      <alignment vertical="center"/>
    </xf>
    <xf numFmtId="0" fontId="86" fillId="0" borderId="0">
      <alignment vertical="center"/>
    </xf>
    <xf numFmtId="0" fontId="86" fillId="0" borderId="0">
      <alignment vertical="center"/>
    </xf>
    <xf numFmtId="0" fontId="19" fillId="17" borderId="0" applyNumberFormat="0" applyBorder="0" applyAlignment="0" applyProtection="0">
      <alignment vertical="center"/>
    </xf>
    <xf numFmtId="0" fontId="86" fillId="0" borderId="0">
      <alignment vertical="center"/>
    </xf>
    <xf numFmtId="0" fontId="40" fillId="17" borderId="0" applyNumberFormat="0" applyBorder="0" applyAlignment="0" applyProtection="0">
      <alignment vertical="center"/>
    </xf>
    <xf numFmtId="0" fontId="86" fillId="0" borderId="0">
      <alignment vertical="center"/>
    </xf>
    <xf numFmtId="0" fontId="19" fillId="10" borderId="0" applyNumberFormat="0" applyBorder="0" applyAlignment="0" applyProtection="0">
      <alignment vertical="center"/>
    </xf>
    <xf numFmtId="0" fontId="66" fillId="0" borderId="0" applyNumberFormat="0" applyFill="0" applyBorder="0" applyAlignment="0" applyProtection="0">
      <alignment vertical="center"/>
    </xf>
    <xf numFmtId="0" fontId="40" fillId="17" borderId="0" applyNumberFormat="0" applyBorder="0" applyAlignment="0" applyProtection="0">
      <alignment vertical="center"/>
    </xf>
    <xf numFmtId="0" fontId="86" fillId="0" borderId="0">
      <alignment vertical="center"/>
    </xf>
    <xf numFmtId="0" fontId="19" fillId="10" borderId="0" applyNumberFormat="0" applyBorder="0" applyAlignment="0" applyProtection="0">
      <alignment vertical="center"/>
    </xf>
    <xf numFmtId="0" fontId="40" fillId="22" borderId="0" applyNumberFormat="0" applyBorder="0" applyAlignment="0" applyProtection="0">
      <alignment vertical="center"/>
    </xf>
    <xf numFmtId="0" fontId="86" fillId="0" borderId="0">
      <alignment vertical="center"/>
    </xf>
    <xf numFmtId="0" fontId="19" fillId="17" borderId="0" applyNumberFormat="0" applyBorder="0" applyAlignment="0" applyProtection="0">
      <alignment vertical="center"/>
    </xf>
    <xf numFmtId="0" fontId="86" fillId="0" borderId="0">
      <alignment vertical="center"/>
    </xf>
    <xf numFmtId="0" fontId="40" fillId="22"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17" borderId="0" applyNumberFormat="0" applyBorder="0" applyAlignment="0" applyProtection="0">
      <alignment vertical="center"/>
    </xf>
    <xf numFmtId="10" fontId="60" fillId="0" borderId="0" applyFont="0" applyFill="0" applyBorder="0" applyAlignment="0" applyProtection="0"/>
    <xf numFmtId="0" fontId="61" fillId="0" borderId="33" applyNumberFormat="0" applyFill="0" applyAlignment="0" applyProtection="0">
      <alignment vertical="center"/>
    </xf>
    <xf numFmtId="0" fontId="86" fillId="0" borderId="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86" fillId="0" borderId="0">
      <alignment vertical="center"/>
    </xf>
    <xf numFmtId="0" fontId="86" fillId="0" borderId="0">
      <alignment vertical="center"/>
    </xf>
    <xf numFmtId="0" fontId="19" fillId="23"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19" fillId="13"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21" fillId="0" borderId="29" applyNumberFormat="0" applyFill="0" applyAlignment="0" applyProtection="0">
      <alignment vertical="center"/>
    </xf>
    <xf numFmtId="0" fontId="19" fillId="13" borderId="0" applyNumberFormat="0" applyBorder="0" applyAlignment="0" applyProtection="0">
      <alignment vertical="center"/>
    </xf>
    <xf numFmtId="0" fontId="86" fillId="0" borderId="0">
      <alignment vertical="center"/>
    </xf>
    <xf numFmtId="0" fontId="86" fillId="0" borderId="0">
      <alignment vertical="center"/>
    </xf>
    <xf numFmtId="0" fontId="19" fillId="13" borderId="0" applyNumberFormat="0" applyBorder="0" applyAlignment="0" applyProtection="0">
      <alignment vertical="center"/>
    </xf>
    <xf numFmtId="0" fontId="86" fillId="0" borderId="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86" fillId="0" borderId="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9" fillId="13" borderId="0" applyNumberFormat="0" applyBorder="0" applyAlignment="0" applyProtection="0">
      <alignment vertical="center"/>
    </xf>
    <xf numFmtId="10" fontId="70" fillId="2" borderId="1" applyNumberFormat="0" applyBorder="0" applyAlignment="0" applyProtection="0"/>
    <xf numFmtId="0" fontId="6" fillId="0" borderId="0"/>
    <xf numFmtId="0" fontId="50" fillId="0" borderId="0" applyNumberFormat="0" applyFill="0" applyBorder="0" applyAlignment="0" applyProtection="0">
      <alignment vertical="center"/>
    </xf>
    <xf numFmtId="0" fontId="86" fillId="0" borderId="0">
      <alignment vertical="center"/>
    </xf>
    <xf numFmtId="0" fontId="86" fillId="0" borderId="0">
      <alignment vertical="center"/>
    </xf>
    <xf numFmtId="0" fontId="40" fillId="17" borderId="0" applyNumberFormat="0" applyBorder="0" applyAlignment="0" applyProtection="0">
      <alignment vertical="center"/>
    </xf>
    <xf numFmtId="0" fontId="86" fillId="0" borderId="0">
      <alignment vertical="center"/>
    </xf>
    <xf numFmtId="0" fontId="19" fillId="23" borderId="0" applyNumberFormat="0" applyBorder="0" applyAlignment="0" applyProtection="0">
      <alignment vertical="center"/>
    </xf>
    <xf numFmtId="0" fontId="62" fillId="0" borderId="38" applyNumberFormat="0" applyFill="0" applyAlignment="0" applyProtection="0">
      <alignment vertical="center"/>
    </xf>
    <xf numFmtId="0" fontId="40" fillId="12" borderId="0" applyNumberFormat="0" applyBorder="0" applyAlignment="0" applyProtection="0">
      <alignment vertical="center"/>
    </xf>
    <xf numFmtId="0" fontId="86" fillId="0" borderId="0">
      <alignment vertical="center"/>
    </xf>
    <xf numFmtId="0" fontId="54" fillId="22" borderId="0" applyNumberFormat="0" applyBorder="0" applyAlignment="0" applyProtection="0">
      <alignment vertical="center"/>
    </xf>
    <xf numFmtId="0" fontId="50" fillId="0" borderId="35" applyNumberFormat="0" applyFill="0" applyAlignment="0" applyProtection="0">
      <alignment vertical="center"/>
    </xf>
    <xf numFmtId="0" fontId="40" fillId="12" borderId="0" applyNumberFormat="0" applyBorder="0" applyAlignment="0" applyProtection="0">
      <alignment vertical="center"/>
    </xf>
    <xf numFmtId="0" fontId="86" fillId="0" borderId="0">
      <alignment vertical="center"/>
    </xf>
    <xf numFmtId="0" fontId="54" fillId="22" borderId="0" applyNumberFormat="0" applyBorder="0" applyAlignment="0" applyProtection="0">
      <alignment vertical="center"/>
    </xf>
    <xf numFmtId="0" fontId="86" fillId="0" borderId="0">
      <alignment vertical="center"/>
    </xf>
    <xf numFmtId="0" fontId="86" fillId="0" borderId="0">
      <alignment vertical="center"/>
    </xf>
    <xf numFmtId="0" fontId="40" fillId="18" borderId="0" applyNumberFormat="0" applyBorder="0" applyAlignment="0" applyProtection="0">
      <alignment vertical="center"/>
    </xf>
    <xf numFmtId="0" fontId="86" fillId="0" borderId="0">
      <alignment vertical="center"/>
    </xf>
    <xf numFmtId="0" fontId="86" fillId="0" borderId="0">
      <alignment vertical="center"/>
    </xf>
    <xf numFmtId="0" fontId="40" fillId="17" borderId="0" applyNumberFormat="0" applyBorder="0" applyAlignment="0" applyProtection="0">
      <alignment vertical="center"/>
    </xf>
    <xf numFmtId="0" fontId="86" fillId="0" borderId="0">
      <alignment vertical="center"/>
    </xf>
    <xf numFmtId="0" fontId="70" fillId="2" borderId="1" applyNumberFormat="0" applyBorder="0" applyAlignment="0" applyProtection="0">
      <alignment vertical="center"/>
    </xf>
    <xf numFmtId="0" fontId="6" fillId="0" borderId="0">
      <alignment vertical="center"/>
    </xf>
    <xf numFmtId="0" fontId="86" fillId="0" borderId="0">
      <alignment vertical="center"/>
    </xf>
    <xf numFmtId="0" fontId="86" fillId="0" borderId="0">
      <alignment vertical="center"/>
    </xf>
    <xf numFmtId="0" fontId="40" fillId="12" borderId="0" applyNumberFormat="0" applyBorder="0" applyAlignment="0" applyProtection="0">
      <alignment vertical="center"/>
    </xf>
    <xf numFmtId="0" fontId="86" fillId="0" borderId="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54" fillId="16" borderId="0" applyNumberFormat="0" applyBorder="0" applyAlignment="0" applyProtection="0">
      <alignment vertical="center"/>
    </xf>
    <xf numFmtId="0" fontId="54" fillId="21" borderId="0" applyNumberFormat="0" applyBorder="0" applyAlignment="0" applyProtection="0">
      <alignment vertical="center"/>
    </xf>
    <xf numFmtId="0" fontId="40" fillId="16" borderId="0" applyNumberFormat="0" applyBorder="0" applyAlignment="0" applyProtection="0">
      <alignment vertical="center"/>
    </xf>
    <xf numFmtId="0" fontId="40" fillId="5" borderId="0" applyNumberFormat="0" applyBorder="0" applyAlignment="0" applyProtection="0">
      <alignment vertical="center"/>
    </xf>
    <xf numFmtId="0" fontId="54" fillId="16" borderId="0" applyNumberFormat="0" applyBorder="0" applyAlignment="0" applyProtection="0">
      <alignment vertical="center"/>
    </xf>
    <xf numFmtId="0" fontId="86" fillId="0" borderId="0">
      <alignment vertical="center"/>
    </xf>
    <xf numFmtId="0" fontId="86" fillId="11" borderId="27" applyNumberFormat="0" applyFont="0" applyAlignment="0" applyProtection="0">
      <alignment vertical="center"/>
    </xf>
    <xf numFmtId="0" fontId="86" fillId="0" borderId="0">
      <alignment vertical="center"/>
    </xf>
    <xf numFmtId="0" fontId="86" fillId="0" borderId="0">
      <alignment vertical="center"/>
    </xf>
    <xf numFmtId="0" fontId="40" fillId="16" borderId="0" applyNumberFormat="0" applyBorder="0" applyAlignment="0" applyProtection="0">
      <alignment vertical="center"/>
    </xf>
    <xf numFmtId="0" fontId="86" fillId="0" borderId="0">
      <alignment vertical="center"/>
    </xf>
    <xf numFmtId="0" fontId="40" fillId="16" borderId="0" applyNumberFormat="0" applyBorder="0" applyAlignment="0" applyProtection="0">
      <alignment vertical="center"/>
    </xf>
    <xf numFmtId="0" fontId="54" fillId="21" borderId="0" applyNumberFormat="0" applyBorder="0" applyAlignment="0" applyProtection="0">
      <alignment vertical="center"/>
    </xf>
    <xf numFmtId="0" fontId="40" fillId="5" borderId="0" applyNumberFormat="0" applyBorder="0" applyAlignment="0" applyProtection="0">
      <alignment vertical="center"/>
    </xf>
    <xf numFmtId="0" fontId="86" fillId="0" borderId="0">
      <alignment vertical="center"/>
    </xf>
    <xf numFmtId="0" fontId="40" fillId="18" borderId="0" applyNumberFormat="0" applyBorder="0" applyAlignment="0" applyProtection="0">
      <alignment vertical="center"/>
    </xf>
    <xf numFmtId="0" fontId="43" fillId="15" borderId="0" applyNumberFormat="0" applyBorder="0" applyAlignment="0" applyProtection="0">
      <alignment vertical="center"/>
    </xf>
    <xf numFmtId="0" fontId="40" fillId="5" borderId="0" applyNumberFormat="0" applyBorder="0" applyAlignment="0" applyProtection="0">
      <alignment vertical="center"/>
    </xf>
    <xf numFmtId="0" fontId="40" fillId="18"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86" fillId="0" borderId="0">
      <alignment vertical="center"/>
    </xf>
    <xf numFmtId="0" fontId="40" fillId="19" borderId="0" applyNumberFormat="0" applyBorder="0" applyAlignment="0" applyProtection="0">
      <alignment vertical="center"/>
    </xf>
    <xf numFmtId="0" fontId="2" fillId="0" borderId="0">
      <alignment vertical="center"/>
    </xf>
    <xf numFmtId="0" fontId="86" fillId="0" borderId="0">
      <alignment vertical="center"/>
    </xf>
    <xf numFmtId="0" fontId="86" fillId="0" borderId="0">
      <alignment vertical="center"/>
    </xf>
    <xf numFmtId="0" fontId="40" fillId="13" borderId="0" applyNumberFormat="0" applyBorder="0" applyAlignment="0" applyProtection="0">
      <alignment vertical="center"/>
    </xf>
    <xf numFmtId="0" fontId="86" fillId="0" borderId="0">
      <alignment vertical="center"/>
    </xf>
    <xf numFmtId="0" fontId="86" fillId="0" borderId="0">
      <alignment vertical="center"/>
    </xf>
    <xf numFmtId="0" fontId="15" fillId="0" borderId="0">
      <alignment vertical="center"/>
    </xf>
    <xf numFmtId="0" fontId="86" fillId="0" borderId="0">
      <alignment vertical="center"/>
    </xf>
    <xf numFmtId="0" fontId="40" fillId="19"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0" fillId="13"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5" fillId="0" borderId="0">
      <alignment vertical="center"/>
    </xf>
    <xf numFmtId="0" fontId="86" fillId="0" borderId="0">
      <alignment vertical="center"/>
    </xf>
    <xf numFmtId="0" fontId="40" fillId="19" borderId="0" applyNumberFormat="0" applyBorder="0" applyAlignment="0" applyProtection="0">
      <alignment vertical="center"/>
    </xf>
    <xf numFmtId="0" fontId="69" fillId="0" borderId="40" applyNumberFormat="0" applyAlignment="0" applyProtection="0">
      <alignment horizontal="left" vertical="center"/>
    </xf>
    <xf numFmtId="0" fontId="86" fillId="0" borderId="0">
      <alignment vertical="center"/>
    </xf>
    <xf numFmtId="0" fontId="40" fillId="19" borderId="0" applyNumberFormat="0" applyBorder="0" applyAlignment="0" applyProtection="0">
      <alignment vertical="center"/>
    </xf>
    <xf numFmtId="0" fontId="86" fillId="0" borderId="0">
      <alignment vertical="center"/>
    </xf>
    <xf numFmtId="0" fontId="40" fillId="22" borderId="0" applyNumberFormat="0" applyBorder="0" applyAlignment="0" applyProtection="0">
      <alignment vertical="center"/>
    </xf>
    <xf numFmtId="0" fontId="86" fillId="0" borderId="0">
      <alignment vertical="center"/>
    </xf>
    <xf numFmtId="0" fontId="40" fillId="22" borderId="0" applyNumberFormat="0" applyBorder="0" applyAlignment="0" applyProtection="0">
      <alignment vertical="center"/>
    </xf>
    <xf numFmtId="0" fontId="86" fillId="0" borderId="0">
      <alignment vertical="center"/>
    </xf>
    <xf numFmtId="0" fontId="54" fillId="22" borderId="0" applyNumberFormat="0" applyBorder="0" applyAlignment="0" applyProtection="0">
      <alignment vertical="center"/>
    </xf>
    <xf numFmtId="0" fontId="86" fillId="0" borderId="0">
      <alignment vertical="center"/>
    </xf>
    <xf numFmtId="0" fontId="40" fillId="22" borderId="0" applyNumberFormat="0" applyBorder="0" applyAlignment="0" applyProtection="0">
      <alignment vertical="center"/>
    </xf>
    <xf numFmtId="0" fontId="86" fillId="0" borderId="0">
      <alignment vertical="center"/>
    </xf>
    <xf numFmtId="0" fontId="86" fillId="0" borderId="0">
      <alignment vertical="center"/>
    </xf>
    <xf numFmtId="0" fontId="54" fillId="22" borderId="0" applyNumberFormat="0" applyBorder="0" applyAlignment="0" applyProtection="0">
      <alignment vertical="center"/>
    </xf>
    <xf numFmtId="0" fontId="86" fillId="0" borderId="0">
      <alignment vertical="center"/>
    </xf>
    <xf numFmtId="0" fontId="6" fillId="0" borderId="0">
      <alignment vertical="center"/>
    </xf>
    <xf numFmtId="0" fontId="86" fillId="0" borderId="0">
      <alignment vertical="center"/>
    </xf>
    <xf numFmtId="0" fontId="54" fillId="22" borderId="0" applyNumberFormat="0" applyBorder="0" applyAlignment="0" applyProtection="0">
      <alignment vertical="center"/>
    </xf>
    <xf numFmtId="0" fontId="56" fillId="0" borderId="34" applyNumberFormat="0" applyFill="0" applyAlignment="0" applyProtection="0">
      <alignment vertical="center"/>
    </xf>
    <xf numFmtId="0" fontId="86" fillId="0" borderId="0">
      <alignment vertical="center"/>
    </xf>
    <xf numFmtId="0" fontId="86" fillId="0" borderId="0">
      <alignment vertical="center"/>
    </xf>
    <xf numFmtId="0" fontId="40" fillId="27" borderId="0" applyNumberFormat="0" applyBorder="0" applyAlignment="0" applyProtection="0">
      <alignment vertical="center"/>
    </xf>
    <xf numFmtId="0" fontId="86" fillId="0" borderId="0">
      <alignment vertical="center"/>
    </xf>
    <xf numFmtId="0" fontId="86" fillId="0" borderId="0">
      <alignment vertical="center"/>
    </xf>
    <xf numFmtId="0" fontId="40" fillId="22" borderId="0" applyNumberFormat="0" applyBorder="0" applyAlignment="0" applyProtection="0">
      <alignment vertical="center"/>
    </xf>
    <xf numFmtId="0" fontId="40" fillId="27" borderId="0" applyNumberFormat="0" applyBorder="0" applyAlignment="0" applyProtection="0">
      <alignment vertical="center"/>
    </xf>
    <xf numFmtId="0" fontId="69" fillId="0" borderId="41">
      <alignment horizontal="left" vertical="center"/>
    </xf>
    <xf numFmtId="0" fontId="86" fillId="0" borderId="0">
      <alignment vertical="center"/>
    </xf>
    <xf numFmtId="0" fontId="40" fillId="20" borderId="0" applyNumberFormat="0" applyBorder="0" applyAlignment="0" applyProtection="0">
      <alignment vertical="center"/>
    </xf>
    <xf numFmtId="0" fontId="86" fillId="0" borderId="0">
      <alignment vertical="center"/>
    </xf>
    <xf numFmtId="0" fontId="54" fillId="13" borderId="0" applyNumberFormat="0" applyBorder="0" applyAlignment="0" applyProtection="0">
      <alignment vertical="center"/>
    </xf>
    <xf numFmtId="0" fontId="86" fillId="0" borderId="0">
      <alignment vertical="center"/>
    </xf>
    <xf numFmtId="0" fontId="86" fillId="0" borderId="0">
      <alignment vertical="center"/>
    </xf>
    <xf numFmtId="0" fontId="40" fillId="20" borderId="0" applyNumberFormat="0" applyBorder="0" applyAlignment="0" applyProtection="0">
      <alignment vertical="center"/>
    </xf>
    <xf numFmtId="0" fontId="86" fillId="0" borderId="0">
      <alignment vertical="center"/>
    </xf>
    <xf numFmtId="0" fontId="86" fillId="0" borderId="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86" fillId="0" borderId="0">
      <alignment vertical="center"/>
    </xf>
    <xf numFmtId="177" fontId="71" fillId="0" borderId="0" applyFill="0" applyBorder="0" applyAlignment="0">
      <alignment vertical="center"/>
    </xf>
    <xf numFmtId="177" fontId="71" fillId="0" borderId="0" applyFill="0" applyBorder="0" applyAlignment="0"/>
    <xf numFmtId="0" fontId="71" fillId="0" borderId="0" applyNumberFormat="0" applyFill="0" applyBorder="0" applyAlignment="0" applyProtection="0">
      <alignment vertical="top"/>
    </xf>
    <xf numFmtId="0" fontId="86" fillId="0" borderId="0">
      <alignment vertical="center"/>
    </xf>
    <xf numFmtId="0" fontId="86" fillId="0" borderId="0">
      <alignment vertical="center"/>
    </xf>
    <xf numFmtId="0" fontId="55" fillId="0" borderId="33" applyNumberFormat="0" applyFill="0" applyAlignment="0" applyProtection="0">
      <alignment vertical="center"/>
    </xf>
    <xf numFmtId="0" fontId="70" fillId="18"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55" fillId="0" borderId="33" applyNumberFormat="0" applyFill="0" applyAlignment="0" applyProtection="0">
      <alignment vertical="center"/>
    </xf>
    <xf numFmtId="38" fontId="70" fillId="18" borderId="0" applyNumberFormat="0" applyBorder="0" applyAlignment="0" applyProtection="0"/>
    <xf numFmtId="37" fontId="65" fillId="0" borderId="0"/>
    <xf numFmtId="0" fontId="68" fillId="0" borderId="0"/>
    <xf numFmtId="0" fontId="86" fillId="0" borderId="0">
      <alignment vertical="center"/>
    </xf>
    <xf numFmtId="9" fontId="86" fillId="0" borderId="0" applyFont="0" applyFill="0" applyBorder="0" applyAlignment="0" applyProtection="0">
      <alignment vertical="center"/>
    </xf>
    <xf numFmtId="9" fontId="86" fillId="0" borderId="0" applyFont="0" applyFill="0" applyBorder="0" applyAlignment="0" applyProtection="0">
      <alignment vertical="center"/>
    </xf>
    <xf numFmtId="9" fontId="86" fillId="0" borderId="0" applyFont="0" applyFill="0" applyBorder="0" applyAlignment="0" applyProtection="0">
      <alignment vertical="center"/>
    </xf>
    <xf numFmtId="0" fontId="86" fillId="0" borderId="0">
      <alignment vertical="center"/>
    </xf>
    <xf numFmtId="9" fontId="86" fillId="0" borderId="0" applyFont="0" applyFill="0" applyBorder="0" applyAlignment="0" applyProtection="0"/>
    <xf numFmtId="0" fontId="86" fillId="0" borderId="0">
      <alignment vertical="center"/>
    </xf>
    <xf numFmtId="9" fontId="6" fillId="0" borderId="0" applyFont="0" applyFill="0" applyBorder="0" applyAlignment="0" applyProtection="0">
      <alignment vertical="center"/>
    </xf>
    <xf numFmtId="9" fontId="86" fillId="0" borderId="0" applyFont="0" applyFill="0" applyBorder="0" applyAlignment="0" applyProtection="0">
      <alignment vertical="center"/>
    </xf>
    <xf numFmtId="0" fontId="86" fillId="0" borderId="0">
      <alignment vertical="center"/>
    </xf>
    <xf numFmtId="9" fontId="6" fillId="0" borderId="0" applyFont="0" applyFill="0" applyBorder="0" applyAlignment="0" applyProtection="0">
      <alignment vertical="center"/>
    </xf>
    <xf numFmtId="0" fontId="86" fillId="0" borderId="0">
      <alignment vertical="center"/>
    </xf>
    <xf numFmtId="9" fontId="86" fillId="0" borderId="0" applyFont="0" applyFill="0" applyBorder="0" applyAlignment="0" applyProtection="0"/>
    <xf numFmtId="0" fontId="86" fillId="0" borderId="0">
      <alignment vertical="center"/>
    </xf>
    <xf numFmtId="9" fontId="6" fillId="0" borderId="0" applyFont="0" applyFill="0" applyBorder="0" applyAlignment="0" applyProtection="0">
      <alignment vertical="center"/>
    </xf>
    <xf numFmtId="0" fontId="86" fillId="0" borderId="0">
      <alignment vertical="center"/>
    </xf>
    <xf numFmtId="9" fontId="6" fillId="0" borderId="0" applyFont="0" applyFill="0" applyBorder="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86" fillId="0" borderId="0">
      <alignment vertical="center"/>
    </xf>
    <xf numFmtId="0" fontId="49" fillId="0" borderId="32" applyNumberFormat="0" applyFill="0" applyAlignment="0" applyProtection="0">
      <alignment vertical="center"/>
    </xf>
    <xf numFmtId="0" fontId="49" fillId="0" borderId="42" applyNumberFormat="0" applyFill="0" applyAlignment="0" applyProtection="0">
      <alignment vertical="center"/>
    </xf>
    <xf numFmtId="0" fontId="49" fillId="0" borderId="42" applyNumberFormat="0" applyFill="0" applyAlignment="0" applyProtection="0">
      <alignment vertical="center"/>
    </xf>
    <xf numFmtId="0" fontId="72" fillId="0" borderId="39" applyNumberFormat="0" applyFill="0" applyAlignment="0" applyProtection="0">
      <alignment vertical="center"/>
    </xf>
    <xf numFmtId="0" fontId="86" fillId="0" borderId="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86" fillId="0" borderId="0">
      <alignment vertical="center"/>
    </xf>
    <xf numFmtId="0" fontId="86" fillId="0" borderId="0">
      <alignment vertical="center"/>
    </xf>
    <xf numFmtId="0" fontId="61" fillId="0" borderId="33" applyNumberFormat="0" applyFill="0" applyAlignment="0" applyProtection="0">
      <alignment vertical="center"/>
    </xf>
    <xf numFmtId="0" fontId="86" fillId="0" borderId="0">
      <alignment vertical="center"/>
    </xf>
    <xf numFmtId="0" fontId="61" fillId="0" borderId="37" applyNumberFormat="0" applyFill="0" applyAlignment="0" applyProtection="0">
      <alignment vertical="center"/>
    </xf>
    <xf numFmtId="0" fontId="67" fillId="0" borderId="39" applyNumberFormat="0" applyFill="0" applyAlignment="0" applyProtection="0">
      <alignment vertical="center"/>
    </xf>
    <xf numFmtId="0" fontId="86" fillId="0" borderId="0">
      <alignment vertical="center"/>
    </xf>
    <xf numFmtId="0" fontId="55" fillId="0" borderId="33" applyNumberFormat="0" applyFill="0" applyAlignment="0" applyProtection="0">
      <alignment vertical="center"/>
    </xf>
    <xf numFmtId="0" fontId="86" fillId="0" borderId="0">
      <alignment vertical="center"/>
    </xf>
    <xf numFmtId="0" fontId="55" fillId="0" borderId="33" applyNumberFormat="0" applyFill="0" applyAlignment="0" applyProtection="0">
      <alignment vertical="center"/>
    </xf>
    <xf numFmtId="0" fontId="86" fillId="0" borderId="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86" fillId="0" borderId="0">
      <alignment vertical="center"/>
    </xf>
    <xf numFmtId="0" fontId="50" fillId="0" borderId="35" applyNumberFormat="0" applyFill="0" applyAlignment="0" applyProtection="0">
      <alignment vertical="center"/>
    </xf>
    <xf numFmtId="0" fontId="6" fillId="0" borderId="0" applyNumberFormat="0" applyFont="0" applyFill="0" applyBorder="0" applyProtection="0">
      <alignment vertical="center"/>
    </xf>
    <xf numFmtId="0" fontId="86" fillId="0" borderId="0">
      <alignment vertical="center"/>
    </xf>
    <xf numFmtId="0" fontId="2" fillId="0" borderId="0">
      <alignment vertical="center"/>
    </xf>
    <xf numFmtId="0" fontId="50" fillId="0" borderId="35" applyNumberFormat="0" applyFill="0" applyAlignment="0" applyProtection="0">
      <alignment vertical="center"/>
    </xf>
    <xf numFmtId="0" fontId="6" fillId="0" borderId="0">
      <alignment vertical="center"/>
    </xf>
    <xf numFmtId="0" fontId="2" fillId="0" borderId="0">
      <alignment vertical="center"/>
    </xf>
    <xf numFmtId="0" fontId="86" fillId="0" borderId="0">
      <alignment vertical="center"/>
    </xf>
    <xf numFmtId="0" fontId="2" fillId="0" borderId="0">
      <alignment vertical="center"/>
    </xf>
    <xf numFmtId="0" fontId="50" fillId="0" borderId="35" applyNumberFormat="0" applyFill="0" applyAlignment="0" applyProtection="0">
      <alignment vertical="center"/>
    </xf>
    <xf numFmtId="0" fontId="86" fillId="0" borderId="0">
      <alignment vertical="center"/>
    </xf>
    <xf numFmtId="0" fontId="86" fillId="0" borderId="0">
      <alignment vertical="center"/>
    </xf>
    <xf numFmtId="0" fontId="62" fillId="0" borderId="38" applyNumberFormat="0" applyFill="0" applyAlignment="0" applyProtection="0">
      <alignment vertical="center"/>
    </xf>
    <xf numFmtId="0" fontId="86" fillId="0" borderId="0">
      <alignment vertical="center"/>
    </xf>
    <xf numFmtId="0" fontId="62" fillId="0" borderId="43" applyNumberFormat="0" applyFill="0" applyAlignment="0" applyProtection="0">
      <alignment vertical="center"/>
    </xf>
    <xf numFmtId="0" fontId="86" fillId="0" borderId="0">
      <alignment vertical="center"/>
    </xf>
    <xf numFmtId="0" fontId="62" fillId="0" borderId="43" applyNumberFormat="0" applyFill="0" applyAlignment="0" applyProtection="0">
      <alignment vertical="center"/>
    </xf>
    <xf numFmtId="0" fontId="74" fillId="0" borderId="44" applyNumberFormat="0" applyFill="0" applyAlignment="0" applyProtection="0">
      <alignment vertical="center"/>
    </xf>
    <xf numFmtId="0" fontId="50" fillId="0" borderId="35" applyNumberFormat="0" applyFill="0" applyAlignment="0" applyProtection="0">
      <alignment vertical="center"/>
    </xf>
    <xf numFmtId="0" fontId="74" fillId="0" borderId="44" applyNumberFormat="0" applyFill="0" applyAlignment="0" applyProtection="0">
      <alignment vertical="center"/>
    </xf>
    <xf numFmtId="0" fontId="86" fillId="0" borderId="0">
      <alignment vertical="center"/>
    </xf>
    <xf numFmtId="0" fontId="50" fillId="0" borderId="35" applyNumberFormat="0" applyFill="0" applyAlignment="0" applyProtection="0">
      <alignment vertical="center"/>
    </xf>
    <xf numFmtId="0" fontId="86" fillId="0" borderId="0">
      <alignment vertical="center"/>
    </xf>
    <xf numFmtId="0" fontId="50" fillId="0" borderId="35" applyNumberFormat="0" applyFill="0" applyAlignment="0" applyProtection="0">
      <alignment vertical="center"/>
    </xf>
    <xf numFmtId="0" fontId="50" fillId="0" borderId="0" applyNumberFormat="0" applyFill="0" applyBorder="0" applyAlignment="0" applyProtection="0">
      <alignment vertical="center"/>
    </xf>
    <xf numFmtId="0" fontId="86" fillId="0" borderId="0">
      <alignment vertical="center"/>
    </xf>
    <xf numFmtId="0" fontId="86" fillId="0" borderId="0">
      <alignment vertical="center"/>
    </xf>
    <xf numFmtId="0" fontId="50" fillId="0" borderId="0" applyNumberFormat="0" applyFill="0" applyBorder="0" applyAlignment="0" applyProtection="0">
      <alignment vertical="center"/>
    </xf>
    <xf numFmtId="0" fontId="6" fillId="0" borderId="0" applyNumberFormat="0" applyFont="0" applyFill="0" applyBorder="0" applyProtection="0">
      <alignment vertical="center"/>
    </xf>
    <xf numFmtId="0" fontId="86" fillId="0" borderId="0">
      <alignment vertical="center"/>
    </xf>
    <xf numFmtId="0" fontId="50" fillId="0" borderId="0" applyNumberFormat="0" applyFill="0" applyBorder="0" applyAlignment="0" applyProtection="0">
      <alignment vertical="center"/>
    </xf>
    <xf numFmtId="0" fontId="86" fillId="0" borderId="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86" fillId="0" borderId="0">
      <alignment vertical="center"/>
    </xf>
    <xf numFmtId="0" fontId="62" fillId="0" borderId="0" applyNumberFormat="0" applyFill="0" applyBorder="0" applyAlignment="0" applyProtection="0">
      <alignment vertical="center"/>
    </xf>
    <xf numFmtId="0" fontId="86" fillId="0" borderId="0">
      <alignment vertical="center"/>
    </xf>
    <xf numFmtId="0" fontId="6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86" fillId="0" borderId="0">
      <alignment vertical="center"/>
    </xf>
    <xf numFmtId="0" fontId="50" fillId="0" borderId="0" applyNumberFormat="0" applyFill="0" applyBorder="0" applyAlignment="0" applyProtection="0">
      <alignment vertical="center"/>
    </xf>
    <xf numFmtId="0" fontId="86" fillId="0" borderId="0">
      <alignment vertical="center"/>
    </xf>
    <xf numFmtId="0" fontId="86" fillId="0" borderId="0">
      <alignment vertical="center"/>
    </xf>
    <xf numFmtId="0" fontId="50" fillId="0" borderId="0" applyNumberFormat="0" applyFill="0" applyBorder="0" applyAlignment="0" applyProtection="0">
      <alignment vertical="center"/>
    </xf>
    <xf numFmtId="0" fontId="86" fillId="0" borderId="0">
      <alignment vertical="center"/>
    </xf>
    <xf numFmtId="0" fontId="5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6" fillId="0" borderId="0">
      <alignment vertical="center"/>
    </xf>
    <xf numFmtId="0" fontId="86" fillId="0" borderId="0">
      <alignment vertical="center"/>
    </xf>
    <xf numFmtId="0" fontId="45" fillId="0" borderId="0" applyNumberFormat="0" applyFill="0" applyBorder="0" applyAlignment="0" applyProtection="0">
      <alignment vertical="center"/>
    </xf>
    <xf numFmtId="0" fontId="53" fillId="0" borderId="0">
      <alignment horizontal="centerContinuous"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6" fillId="0" borderId="0">
      <alignment vertical="center"/>
    </xf>
    <xf numFmtId="0" fontId="86" fillId="0" borderId="0">
      <alignment vertical="center"/>
    </xf>
    <xf numFmtId="0" fontId="45" fillId="0" borderId="0" applyNumberFormat="0" applyFill="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10" fillId="0" borderId="1">
      <alignment horizontal="distributed" vertical="center" wrapText="1"/>
    </xf>
    <xf numFmtId="0" fontId="86" fillId="0" borderId="0">
      <alignment vertical="center"/>
    </xf>
    <xf numFmtId="0" fontId="10" fillId="0" borderId="1">
      <alignment horizontal="distributed" vertical="center" wrapText="1"/>
    </xf>
    <xf numFmtId="0" fontId="86" fillId="0" borderId="0">
      <alignment vertical="center"/>
    </xf>
    <xf numFmtId="0" fontId="10" fillId="0" borderId="1">
      <alignment horizontal="distributed" vertical="center" wrapText="1"/>
    </xf>
    <xf numFmtId="0" fontId="86" fillId="0" borderId="0">
      <alignment vertical="center"/>
    </xf>
    <xf numFmtId="0" fontId="10" fillId="0" borderId="1">
      <alignment horizontal="distributed" vertical="center" wrapText="1"/>
    </xf>
    <xf numFmtId="0" fontId="86" fillId="0" borderId="0">
      <alignment vertical="center"/>
    </xf>
    <xf numFmtId="0" fontId="10" fillId="0" borderId="1">
      <alignment horizontal="distributed" vertical="center" wrapText="1"/>
    </xf>
    <xf numFmtId="0" fontId="86" fillId="0" borderId="0">
      <alignment vertical="center"/>
    </xf>
    <xf numFmtId="0" fontId="10" fillId="0" borderId="1">
      <alignment horizontal="distributed" vertical="center" wrapText="1"/>
    </xf>
    <xf numFmtId="0" fontId="86" fillId="0" borderId="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86" fillId="0" borderId="0">
      <alignment vertical="center"/>
    </xf>
    <xf numFmtId="0" fontId="86" fillId="0" borderId="0">
      <alignment vertical="center"/>
    </xf>
    <xf numFmtId="0" fontId="4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73" fillId="15" borderId="0" applyNumberFormat="0" applyBorder="0" applyAlignment="0" applyProtection="0">
      <alignment vertical="center"/>
    </xf>
    <xf numFmtId="0" fontId="73" fillId="15" borderId="0" applyNumberFormat="0" applyBorder="0" applyAlignment="0" applyProtection="0">
      <alignment vertical="center"/>
    </xf>
    <xf numFmtId="0" fontId="73" fillId="15" borderId="0" applyNumberFormat="0" applyBorder="0" applyAlignment="0" applyProtection="0">
      <alignment vertical="center"/>
    </xf>
    <xf numFmtId="0" fontId="86" fillId="0" borderId="0">
      <alignment vertical="center"/>
    </xf>
    <xf numFmtId="0" fontId="86" fillId="0" borderId="0">
      <alignment vertical="center"/>
    </xf>
    <xf numFmtId="0" fontId="43" fillId="15" borderId="0" applyNumberFormat="0" applyBorder="0" applyAlignment="0" applyProtection="0">
      <alignment vertical="center"/>
    </xf>
    <xf numFmtId="0" fontId="86" fillId="0" borderId="0">
      <alignment vertical="center"/>
    </xf>
    <xf numFmtId="0" fontId="7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7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6" fillId="0" borderId="0" applyNumberFormat="0" applyFont="0" applyFill="0" applyBorder="0" applyProtection="0">
      <alignment vertical="center"/>
    </xf>
    <xf numFmtId="0" fontId="86" fillId="0" borderId="0">
      <alignment vertical="center"/>
    </xf>
    <xf numFmtId="0" fontId="4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75" fillId="15" borderId="0" applyNumberFormat="0" applyBorder="0" applyAlignment="0" applyProtection="0">
      <alignment vertical="center"/>
    </xf>
    <xf numFmtId="0" fontId="86" fillId="0" borderId="0">
      <alignment vertical="center"/>
    </xf>
    <xf numFmtId="0" fontId="75"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86" fillId="0" borderId="0">
      <alignment vertical="center"/>
    </xf>
    <xf numFmtId="0" fontId="6" fillId="0" borderId="0" applyNumberFormat="0" applyFont="0" applyFill="0" applyBorder="0" applyProtection="0">
      <alignment vertical="center"/>
    </xf>
    <xf numFmtId="0" fontId="43" fillId="15"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3" fillId="15"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3" fillId="15" borderId="0" applyNumberFormat="0" applyBorder="0" applyAlignment="0" applyProtection="0">
      <alignment vertical="center"/>
    </xf>
    <xf numFmtId="0" fontId="2" fillId="0" borderId="0">
      <alignment vertical="center"/>
    </xf>
    <xf numFmtId="0" fontId="43" fillId="15" borderId="0" applyNumberFormat="0" applyBorder="0" applyAlignment="0" applyProtection="0">
      <alignment vertical="center"/>
    </xf>
    <xf numFmtId="0" fontId="2" fillId="0" borderId="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86" fillId="0" borderId="0">
      <alignment vertical="center"/>
    </xf>
    <xf numFmtId="0" fontId="43" fillId="15"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43" fillId="15" borderId="0" applyNumberFormat="0" applyBorder="0" applyAlignment="0" applyProtection="0">
      <alignment vertical="center"/>
    </xf>
    <xf numFmtId="0" fontId="86" fillId="0" borderId="0">
      <alignment vertical="center"/>
    </xf>
    <xf numFmtId="0" fontId="77" fillId="15" borderId="0" applyNumberFormat="0" applyBorder="0" applyAlignment="0" applyProtection="0">
      <alignment vertical="center"/>
    </xf>
    <xf numFmtId="0" fontId="86" fillId="0" borderId="0">
      <alignment vertical="center"/>
    </xf>
    <xf numFmtId="0" fontId="77" fillId="15" borderId="0" applyNumberFormat="0" applyBorder="0" applyAlignment="0" applyProtection="0">
      <alignment vertical="center"/>
    </xf>
    <xf numFmtId="0" fontId="86" fillId="0" borderId="0">
      <alignment vertical="center"/>
    </xf>
    <xf numFmtId="0" fontId="77" fillId="15" borderId="0" applyNumberFormat="0" applyBorder="0" applyAlignment="0" applyProtection="0">
      <alignment vertical="center"/>
    </xf>
    <xf numFmtId="0" fontId="77" fillId="15" borderId="0" applyNumberFormat="0" applyBorder="0" applyAlignment="0" applyProtection="0">
      <alignment vertical="center"/>
    </xf>
    <xf numFmtId="0" fontId="86" fillId="0" borderId="0">
      <alignment vertical="center"/>
    </xf>
    <xf numFmtId="0" fontId="77" fillId="15" borderId="0" applyNumberFormat="0" applyBorder="0" applyAlignment="0" applyProtection="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2"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6" fillId="0" borderId="0" applyNumberFormat="0" applyFont="0" applyFill="0" applyBorder="0" applyProtection="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5" fillId="0" borderId="0">
      <alignment vertical="center"/>
    </xf>
    <xf numFmtId="0" fontId="86" fillId="0" borderId="0">
      <alignment vertical="center"/>
    </xf>
    <xf numFmtId="0" fontId="86" fillId="0" borderId="0"/>
    <xf numFmtId="0" fontId="19"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5"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15"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xf numFmtId="0" fontId="6" fillId="0" borderId="0">
      <alignment vertical="center"/>
    </xf>
    <xf numFmtId="0" fontId="86" fillId="0" borderId="0">
      <alignment vertical="center"/>
    </xf>
    <xf numFmtId="0" fontId="8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19" fillId="0" borderId="0">
      <alignment vertical="center"/>
    </xf>
    <xf numFmtId="0" fontId="6" fillId="0" borderId="0" applyNumberFormat="0" applyFont="0" applyFill="0" applyBorder="0" applyProtection="0">
      <alignment vertical="center"/>
    </xf>
    <xf numFmtId="0" fontId="8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19" fillId="0" borderId="0">
      <alignment vertical="center"/>
    </xf>
    <xf numFmtId="0" fontId="6" fillId="0" borderId="0" applyNumberFormat="0" applyFont="0" applyFill="0" applyBorder="0" applyProtection="0">
      <alignment vertical="center"/>
    </xf>
    <xf numFmtId="0" fontId="86" fillId="0" borderId="0">
      <alignment vertical="center"/>
    </xf>
    <xf numFmtId="0" fontId="2" fillId="0" borderId="0">
      <alignment vertical="center"/>
    </xf>
    <xf numFmtId="0" fontId="86" fillId="0" borderId="0">
      <alignment vertical="center"/>
    </xf>
    <xf numFmtId="0" fontId="2"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6" fillId="8"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6" fillId="8" borderId="0" applyNumberFormat="0" applyBorder="0" applyAlignment="0" applyProtection="0">
      <alignment vertical="center"/>
    </xf>
    <xf numFmtId="0" fontId="86" fillId="0" borderId="0">
      <alignment vertical="center"/>
    </xf>
    <xf numFmtId="0" fontId="46" fillId="8"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46" fillId="8"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6" fillId="8" borderId="0" applyNumberFormat="0" applyBorder="0" applyAlignment="0" applyProtection="0">
      <alignment vertical="center"/>
    </xf>
    <xf numFmtId="0" fontId="86" fillId="0" borderId="0">
      <alignment vertical="center"/>
    </xf>
    <xf numFmtId="0" fontId="86" fillId="0" borderId="0">
      <alignment vertical="center"/>
    </xf>
    <xf numFmtId="0" fontId="46" fillId="8" borderId="0" applyNumberFormat="0" applyBorder="0" applyAlignment="0" applyProtection="0">
      <alignment vertical="center"/>
    </xf>
    <xf numFmtId="0" fontId="86" fillId="0" borderId="0">
      <alignment vertical="center"/>
    </xf>
    <xf numFmtId="0" fontId="86" fillId="0" borderId="0">
      <alignment vertical="center"/>
    </xf>
    <xf numFmtId="0" fontId="46" fillId="8"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2" fillId="0" borderId="0"/>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86" fillId="0" borderId="0">
      <alignment vertical="center"/>
    </xf>
    <xf numFmtId="0" fontId="6" fillId="0" borderId="0">
      <alignment vertical="center"/>
    </xf>
    <xf numFmtId="0" fontId="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6" fillId="8"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19" fillId="0" borderId="0">
      <alignment vertical="center"/>
    </xf>
    <xf numFmtId="0" fontId="86" fillId="0" borderId="0">
      <alignment vertical="center"/>
    </xf>
    <xf numFmtId="0" fontId="6" fillId="0" borderId="0">
      <alignment vertical="center"/>
    </xf>
    <xf numFmtId="0" fontId="86" fillId="0" borderId="0">
      <alignment vertical="center"/>
    </xf>
    <xf numFmtId="0" fontId="2" fillId="0" borderId="0">
      <alignment vertical="center"/>
    </xf>
    <xf numFmtId="0" fontId="6" fillId="0" borderId="0" applyNumberFormat="0" applyFont="0" applyFill="0" applyBorder="0" applyProtection="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6" fillId="0" borderId="0">
      <alignment vertical="center"/>
    </xf>
    <xf numFmtId="0" fontId="86" fillId="0" borderId="0">
      <alignment vertical="center"/>
    </xf>
    <xf numFmtId="0" fontId="6" fillId="0" borderId="0">
      <alignment vertical="center"/>
    </xf>
    <xf numFmtId="0" fontId="6" fillId="0" borderId="0">
      <alignment vertical="center"/>
    </xf>
    <xf numFmtId="0" fontId="86" fillId="0" borderId="0">
      <alignment vertical="center"/>
    </xf>
    <xf numFmtId="0" fontId="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0" fillId="28"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41" fontId="86" fillId="0" borderId="0" applyFont="0" applyFill="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59" fillId="25" borderId="36" applyNumberFormat="0" applyAlignment="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2"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xf numFmtId="0" fontId="15"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5"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8" fillId="13" borderId="31" applyNumberFormat="0" applyAlignment="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48" fillId="13" borderId="31" applyNumberFormat="0" applyAlignment="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54" fillId="22"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54" fillId="9"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6" fillId="8"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2" fillId="0" borderId="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19" fillId="0" borderId="0">
      <alignment vertical="center"/>
    </xf>
    <xf numFmtId="0" fontId="6" fillId="0" borderId="0" applyNumberFormat="0" applyFont="0" applyFill="0" applyBorder="0" applyProtection="0">
      <alignment vertical="center"/>
    </xf>
    <xf numFmtId="0" fontId="19" fillId="0" borderId="0">
      <alignment vertical="center"/>
    </xf>
    <xf numFmtId="0" fontId="86" fillId="0" borderId="0">
      <alignment vertical="center"/>
    </xf>
    <xf numFmtId="0" fontId="19" fillId="0" borderId="0">
      <alignment vertical="center"/>
    </xf>
    <xf numFmtId="0" fontId="2" fillId="0" borderId="0"/>
    <xf numFmtId="0" fontId="86" fillId="0" borderId="0">
      <alignment vertical="center"/>
    </xf>
    <xf numFmtId="0" fontId="86" fillId="0" borderId="0"/>
    <xf numFmtId="0" fontId="86" fillId="0" borderId="0">
      <alignment vertical="center"/>
    </xf>
    <xf numFmtId="0" fontId="2"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41" fontId="6" fillId="0" borderId="0" applyFont="0" applyFill="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9" fillId="0" borderId="0">
      <alignment vertical="center"/>
    </xf>
    <xf numFmtId="0" fontId="15" fillId="0" borderId="0">
      <alignment vertical="center"/>
    </xf>
    <xf numFmtId="0" fontId="6" fillId="0" borderId="0">
      <alignment vertical="center"/>
    </xf>
    <xf numFmtId="0" fontId="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2"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6" fillId="0" borderId="0">
      <alignment vertical="center"/>
    </xf>
    <xf numFmtId="0" fontId="86" fillId="0" borderId="0">
      <alignment vertical="center"/>
    </xf>
    <xf numFmtId="0" fontId="86" fillId="0" borderId="0">
      <alignment vertical="center"/>
    </xf>
    <xf numFmtId="0" fontId="6" fillId="0" borderId="0">
      <alignment vertical="center"/>
    </xf>
    <xf numFmtId="0" fontId="86" fillId="0" borderId="0">
      <alignment vertical="center"/>
    </xf>
    <xf numFmtId="0" fontId="6" fillId="0" borderId="0">
      <alignment vertical="center"/>
    </xf>
    <xf numFmtId="0" fontId="2" fillId="0" borderId="0">
      <alignment vertical="center"/>
    </xf>
    <xf numFmtId="0" fontId="86" fillId="0" borderId="0">
      <alignment vertical="center"/>
    </xf>
    <xf numFmtId="0" fontId="6" fillId="0" borderId="0">
      <alignment vertical="center"/>
    </xf>
    <xf numFmtId="0" fontId="2"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pplyFont="0" applyFill="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0" fillId="22"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6" fillId="0" borderId="0">
      <alignment vertical="center"/>
    </xf>
    <xf numFmtId="0" fontId="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86" fillId="0" borderId="0">
      <alignment vertical="center"/>
    </xf>
    <xf numFmtId="0" fontId="86" fillId="0" borderId="0">
      <alignment vertical="center"/>
    </xf>
    <xf numFmtId="0" fontId="86"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6" fillId="0" borderId="0">
      <alignment vertical="center"/>
    </xf>
    <xf numFmtId="0" fontId="2" fillId="0" borderId="0">
      <alignment vertical="center"/>
    </xf>
    <xf numFmtId="0" fontId="6" fillId="0" borderId="0">
      <alignment vertical="center"/>
    </xf>
    <xf numFmtId="0" fontId="8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2" fillId="0" borderId="0">
      <alignment vertical="center"/>
    </xf>
    <xf numFmtId="0" fontId="6" fillId="0" borderId="0" applyNumberFormat="0" applyFont="0" applyFill="0" applyBorder="0" applyProtection="0">
      <alignment vertical="center"/>
    </xf>
    <xf numFmtId="0" fontId="19" fillId="0" borderId="0">
      <alignment vertical="center"/>
    </xf>
    <xf numFmtId="0" fontId="6" fillId="0" borderId="0" applyNumberFormat="0" applyFont="0" applyFill="0" applyBorder="0" applyProtection="0">
      <alignment vertical="center"/>
    </xf>
    <xf numFmtId="0" fontId="6" fillId="0" borderId="0">
      <alignment vertical="center"/>
    </xf>
    <xf numFmtId="0" fontId="19" fillId="0" borderId="0">
      <alignment vertical="center"/>
    </xf>
    <xf numFmtId="0" fontId="19" fillId="0" borderId="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40" fillId="19" borderId="0" applyNumberFormat="0" applyBorder="0" applyAlignment="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2" fillId="0" borderId="0">
      <alignment vertical="center"/>
    </xf>
    <xf numFmtId="0" fontId="19"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6" fillId="8" borderId="0" applyNumberFormat="0" applyBorder="0" applyAlignment="0" applyProtection="0">
      <alignment vertical="center"/>
    </xf>
    <xf numFmtId="0" fontId="86" fillId="0" borderId="0">
      <alignment vertical="center"/>
    </xf>
    <xf numFmtId="0" fontId="19"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19"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6" fillId="8" borderId="0" applyNumberFormat="0" applyBorder="0" applyAlignment="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6" fillId="8" borderId="0" applyNumberFormat="0" applyBorder="0" applyAlignment="0" applyProtection="0">
      <alignment vertical="center"/>
    </xf>
    <xf numFmtId="0" fontId="6" fillId="0" borderId="0" applyNumberFormat="0" applyFont="0" applyFill="0" applyBorder="0" applyProtection="0">
      <alignment vertical="center"/>
    </xf>
    <xf numFmtId="0" fontId="46" fillId="8"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179" fontId="86" fillId="0" borderId="0" applyFont="0" applyFill="0" applyBorder="0" applyAlignment="0" applyProtection="0">
      <alignment vertical="center"/>
    </xf>
    <xf numFmtId="0" fontId="6" fillId="0" borderId="0" applyNumberFormat="0" applyFont="0" applyFill="0" applyBorder="0" applyProtection="0">
      <alignment vertical="center"/>
    </xf>
    <xf numFmtId="179" fontId="86" fillId="0" borderId="0" applyFont="0" applyFill="0" applyBorder="0" applyAlignment="0" applyProtection="0">
      <alignment vertical="center"/>
    </xf>
    <xf numFmtId="0" fontId="6" fillId="0" borderId="0" applyNumberFormat="0" applyFont="0" applyFill="0" applyBorder="0" applyProtection="0">
      <alignment vertical="center"/>
    </xf>
    <xf numFmtId="179" fontId="86" fillId="0" borderId="0" applyFont="0" applyFill="0" applyBorder="0" applyAlignment="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6" fillId="8" borderId="0" applyNumberFormat="0" applyBorder="0" applyAlignment="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0" borderId="0">
      <alignment vertical="center"/>
    </xf>
    <xf numFmtId="0" fontId="19" fillId="0" borderId="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0" fillId="0" borderId="0">
      <alignment vertical="center"/>
    </xf>
    <xf numFmtId="0" fontId="86" fillId="0" borderId="0">
      <alignment vertical="center"/>
    </xf>
    <xf numFmtId="0" fontId="86" fillId="0" borderId="0">
      <alignment vertical="center"/>
    </xf>
    <xf numFmtId="0" fontId="86" fillId="0" borderId="0">
      <alignment vertical="center"/>
    </xf>
    <xf numFmtId="0" fontId="6" fillId="0" borderId="0">
      <alignment vertical="center"/>
    </xf>
    <xf numFmtId="0" fontId="15" fillId="0" borderId="0">
      <alignment vertical="center"/>
    </xf>
    <xf numFmtId="0" fontId="19"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86" fillId="0" borderId="0">
      <alignment vertical="center"/>
    </xf>
    <xf numFmtId="0" fontId="60" fillId="0" borderId="0">
      <alignment vertical="center"/>
    </xf>
    <xf numFmtId="0" fontId="86" fillId="0" borderId="0">
      <alignment vertical="center"/>
    </xf>
    <xf numFmtId="0" fontId="86" fillId="0" borderId="0">
      <alignment vertical="center"/>
    </xf>
    <xf numFmtId="0" fontId="6" fillId="0" borderId="0">
      <alignment vertical="center"/>
    </xf>
    <xf numFmtId="0" fontId="6" fillId="0" borderId="0">
      <alignment vertical="center"/>
    </xf>
    <xf numFmtId="0" fontId="86" fillId="0" borderId="0" applyNumberFormat="0" applyFill="0" applyBorder="0" applyAlignment="0" applyProtection="0">
      <alignment vertical="center"/>
    </xf>
    <xf numFmtId="0" fontId="6" fillId="0" borderId="0" applyNumberFormat="0" applyFont="0" applyFill="0" applyBorder="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78" fillId="8" borderId="0" applyNumberFormat="0" applyBorder="0" applyAlignment="0" applyProtection="0">
      <alignment vertical="center"/>
    </xf>
    <xf numFmtId="0" fontId="78"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2"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79" fillId="8" borderId="0" applyNumberFormat="0" applyBorder="0" applyAlignment="0" applyProtection="0">
      <alignment vertical="center"/>
    </xf>
    <xf numFmtId="0" fontId="79" fillId="8"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21" fillId="0" borderId="45" applyNumberFormat="0" applyFill="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21" fillId="0" borderId="45" applyNumberFormat="0" applyFill="0" applyAlignment="0" applyProtection="0">
      <alignment vertical="center"/>
    </xf>
    <xf numFmtId="0" fontId="21" fillId="0" borderId="45" applyNumberFormat="0" applyFill="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21" fillId="0" borderId="46" applyNumberFormat="0" applyFill="0" applyAlignment="0" applyProtection="0">
      <alignment vertical="center"/>
    </xf>
    <xf numFmtId="0" fontId="21" fillId="0" borderId="46" applyNumberFormat="0" applyFill="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21" fillId="0" borderId="29" applyNumberFormat="0" applyFill="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179" fontId="2" fillId="0" borderId="0" applyFont="0" applyFill="0" applyBorder="0" applyAlignment="0" applyProtection="0">
      <alignment vertical="center"/>
    </xf>
    <xf numFmtId="179" fontId="2" fillId="0" borderId="0" applyFont="0" applyFill="0" applyBorder="0" applyAlignment="0" applyProtection="0">
      <alignment vertical="center"/>
    </xf>
    <xf numFmtId="179" fontId="86" fillId="0" borderId="0" applyFont="0" applyFill="0" applyBorder="0" applyAlignment="0" applyProtection="0">
      <alignment vertical="center"/>
    </xf>
    <xf numFmtId="179" fontId="2" fillId="0" borderId="0" applyFont="0" applyFill="0" applyBorder="0" applyAlignment="0" applyProtection="0">
      <alignment vertical="center"/>
    </xf>
    <xf numFmtId="179" fontId="2" fillId="0" borderId="0" applyFont="0" applyFill="0" applyBorder="0" applyAlignment="0" applyProtection="0">
      <alignment vertical="center"/>
    </xf>
    <xf numFmtId="0" fontId="58" fillId="18" borderId="31" applyNumberFormat="0" applyAlignment="0" applyProtection="0">
      <alignment vertical="center"/>
    </xf>
    <xf numFmtId="0" fontId="58" fillId="18" borderId="31" applyNumberForma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58" fillId="2" borderId="31" applyNumberForma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7" fillId="0" borderId="30" applyNumberFormat="0" applyFill="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58" fillId="2" borderId="31" applyNumberFormat="0" applyAlignment="0" applyProtection="0">
      <alignment vertical="center"/>
    </xf>
    <xf numFmtId="0" fontId="58" fillId="2" borderId="31" applyNumberForma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0" fillId="2" borderId="31" applyNumberFormat="0" applyAlignment="0" applyProtection="0">
      <alignment vertical="center"/>
    </xf>
    <xf numFmtId="0" fontId="80" fillId="2" borderId="31" applyNumberForma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58" fillId="18" borderId="31" applyNumberForma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58" fillId="18" borderId="31" applyNumberFormat="0" applyAlignment="0" applyProtection="0">
      <alignment vertical="center"/>
    </xf>
    <xf numFmtId="0" fontId="58" fillId="18" borderId="31" applyNumberFormat="0" applyAlignment="0" applyProtection="0">
      <alignment vertical="center"/>
    </xf>
    <xf numFmtId="0" fontId="58" fillId="18" borderId="31" applyNumberFormat="0" applyAlignment="0" applyProtection="0">
      <alignment vertical="center"/>
    </xf>
    <xf numFmtId="0" fontId="6" fillId="0" borderId="0" applyNumberFormat="0" applyFont="0" applyFill="0" applyBorder="0" applyProtection="0">
      <alignment vertical="center"/>
    </xf>
    <xf numFmtId="0" fontId="59" fillId="25" borderId="36" applyNumberFormat="0" applyAlignment="0" applyProtection="0">
      <alignment vertical="center"/>
    </xf>
    <xf numFmtId="0" fontId="59" fillId="25" borderId="36" applyNumberFormat="0" applyAlignment="0" applyProtection="0">
      <alignment vertical="center"/>
    </xf>
    <xf numFmtId="0" fontId="6" fillId="0" borderId="0" applyNumberFormat="0" applyFont="0" applyFill="0" applyBorder="0" applyProtection="0">
      <alignment vertical="center"/>
    </xf>
    <xf numFmtId="0" fontId="81" fillId="25" borderId="36" applyNumberFormat="0" applyAlignment="0" applyProtection="0">
      <alignment vertical="center"/>
    </xf>
    <xf numFmtId="0" fontId="81" fillId="25" borderId="36" applyNumberFormat="0" applyAlignment="0" applyProtection="0">
      <alignment vertical="center"/>
    </xf>
    <xf numFmtId="0" fontId="81" fillId="25" borderId="36" applyNumberFormat="0" applyAlignment="0" applyProtection="0">
      <alignment vertical="center"/>
    </xf>
    <xf numFmtId="0" fontId="59" fillId="25" borderId="36" applyNumberFormat="0" applyAlignment="0" applyProtection="0">
      <alignment vertical="center"/>
    </xf>
    <xf numFmtId="0" fontId="59" fillId="25" borderId="36" applyNumberFormat="0" applyAlignment="0" applyProtection="0">
      <alignment vertical="center"/>
    </xf>
    <xf numFmtId="0" fontId="59" fillId="25" borderId="36" applyNumberFormat="0" applyAlignment="0" applyProtection="0">
      <alignment vertical="center"/>
    </xf>
    <xf numFmtId="0" fontId="59" fillId="25" borderId="36" applyNumberFormat="0" applyAlignment="0" applyProtection="0">
      <alignment vertical="center"/>
    </xf>
    <xf numFmtId="0" fontId="59" fillId="25" borderId="36"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 fillId="0" borderId="0" applyNumberFormat="0" applyFont="0" applyFill="0" applyBorder="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 fillId="0" borderId="0" applyNumberFormat="0" applyFont="0" applyFill="0" applyBorder="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 fillId="0" borderId="0" applyNumberFormat="0" applyFont="0" applyFill="0" applyBorder="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 fillId="0" borderId="0" applyNumberFormat="0" applyFont="0" applyFill="0" applyBorder="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6" fillId="0" borderId="0" applyNumberFormat="0" applyFont="0" applyFill="0" applyBorder="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82" fillId="0" borderId="30" applyNumberFormat="0" applyFill="0" applyAlignment="0" applyProtection="0">
      <alignment vertical="center"/>
    </xf>
    <xf numFmtId="0" fontId="82" fillId="0" borderId="30" applyNumberFormat="0" applyFill="0" applyAlignment="0" applyProtection="0">
      <alignment vertical="center"/>
    </xf>
    <xf numFmtId="0" fontId="6" fillId="0" borderId="0" applyNumberFormat="0" applyFont="0" applyFill="0" applyBorder="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180" fontId="86" fillId="0" borderId="0" applyFont="0" applyFill="0" applyBorder="0" applyAlignment="0" applyProtection="0">
      <alignment vertical="center"/>
    </xf>
    <xf numFmtId="181" fontId="86" fillId="0" borderId="0" applyFont="0" applyFill="0" applyBorder="0" applyAlignment="0" applyProtection="0">
      <alignment vertical="center"/>
    </xf>
    <xf numFmtId="182" fontId="86" fillId="0" borderId="0" applyFont="0" applyFill="0" applyBorder="0" applyAlignment="0" applyProtection="0">
      <alignment vertical="center"/>
    </xf>
    <xf numFmtId="183" fontId="86" fillId="0" borderId="0" applyFont="0" applyFill="0" applyBorder="0" applyAlignment="0" applyProtection="0">
      <alignment vertical="center"/>
    </xf>
    <xf numFmtId="0" fontId="26" fillId="0" borderId="0">
      <alignment vertical="center"/>
    </xf>
    <xf numFmtId="43" fontId="86" fillId="0" borderId="0" applyFont="0" applyFill="0" applyBorder="0" applyAlignment="0" applyProtection="0">
      <alignment vertical="center"/>
    </xf>
    <xf numFmtId="0" fontId="86" fillId="0" borderId="0" applyFont="0" applyFill="0" applyBorder="0" applyAlignment="0" applyProtection="0">
      <alignment vertical="center"/>
    </xf>
    <xf numFmtId="0" fontId="86" fillId="0" borderId="0" applyFont="0" applyFill="0" applyBorder="0" applyAlignment="0" applyProtection="0">
      <alignment vertical="center"/>
    </xf>
    <xf numFmtId="43" fontId="86" fillId="0" borderId="0" applyFont="0" applyFill="0" applyBorder="0" applyAlignment="0" applyProtection="0">
      <alignment vertical="center"/>
    </xf>
    <xf numFmtId="43" fontId="6" fillId="0" borderId="0" applyFont="0" applyFill="0" applyBorder="0" applyAlignment="0" applyProtection="0">
      <alignment vertical="center"/>
    </xf>
    <xf numFmtId="43" fontId="86" fillId="0" borderId="0" applyFont="0" applyFill="0" applyBorder="0" applyAlignment="0" applyProtection="0">
      <alignment vertical="center"/>
    </xf>
    <xf numFmtId="43" fontId="6" fillId="0" borderId="0" applyFont="0" applyFill="0" applyBorder="0" applyAlignment="0" applyProtection="0">
      <alignment vertical="center"/>
    </xf>
    <xf numFmtId="43" fontId="86" fillId="0" borderId="0" applyFont="0" applyFill="0" applyBorder="0" applyAlignment="0" applyProtection="0">
      <alignment vertical="center"/>
    </xf>
    <xf numFmtId="43" fontId="6" fillId="0" borderId="0" applyFont="0" applyFill="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41" fontId="86" fillId="0" borderId="0" applyFont="0" applyFill="0" applyBorder="0" applyAlignment="0" applyProtection="0">
      <alignment vertical="center"/>
    </xf>
    <xf numFmtId="41" fontId="86" fillId="0" borderId="0" applyFont="0" applyFill="0" applyBorder="0" applyAlignment="0" applyProtection="0">
      <alignment vertical="center"/>
    </xf>
    <xf numFmtId="41" fontId="6" fillId="0" borderId="0" applyFont="0" applyFill="0" applyBorder="0" applyAlignment="0" applyProtection="0">
      <alignment vertical="center"/>
    </xf>
    <xf numFmtId="41" fontId="6" fillId="0" borderId="0" applyFont="0" applyFill="0" applyBorder="0" applyAlignment="0" applyProtection="0">
      <alignment vertical="center"/>
    </xf>
    <xf numFmtId="41" fontId="86" fillId="0" borderId="0" applyFont="0" applyFill="0" applyBorder="0" applyAlignment="0" applyProtection="0">
      <alignment vertical="center"/>
    </xf>
    <xf numFmtId="41" fontId="86" fillId="0" borderId="0" applyFont="0" applyFill="0" applyBorder="0" applyAlignment="0" applyProtection="0">
      <alignment vertical="center"/>
    </xf>
    <xf numFmtId="41" fontId="6" fillId="0" borderId="0" applyFont="0" applyFill="0" applyBorder="0" applyAlignment="0" applyProtection="0">
      <alignment vertical="center"/>
    </xf>
    <xf numFmtId="41" fontId="86" fillId="0" borderId="0" applyFont="0" applyFill="0" applyBorder="0" applyAlignment="0" applyProtection="0">
      <alignment vertical="center"/>
    </xf>
    <xf numFmtId="41" fontId="6" fillId="0" borderId="0" applyFont="0" applyFill="0" applyBorder="0" applyAlignment="0" applyProtection="0">
      <alignment vertical="center"/>
    </xf>
    <xf numFmtId="43" fontId="86" fillId="0" borderId="0" applyFont="0" applyFill="0" applyBorder="0" applyAlignment="0" applyProtection="0">
      <alignment vertical="center"/>
    </xf>
    <xf numFmtId="0" fontId="6" fillId="0" borderId="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6" fillId="0" borderId="0" applyNumberFormat="0" applyFont="0" applyFill="0" applyBorder="0" applyProtection="0">
      <alignment vertical="center"/>
    </xf>
    <xf numFmtId="0" fontId="54" fillId="22" borderId="0" applyNumberFormat="0" applyBorder="0" applyAlignment="0" applyProtection="0">
      <alignment vertical="center"/>
    </xf>
    <xf numFmtId="0" fontId="6" fillId="0" borderId="0" applyNumberFormat="0" applyFont="0" applyFill="0" applyBorder="0" applyProtection="0">
      <alignment vertical="center"/>
    </xf>
    <xf numFmtId="0" fontId="54" fillId="22"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6" fillId="0" borderId="0" applyNumberFormat="0" applyFont="0" applyFill="0" applyBorder="0" applyProtection="0">
      <alignment vertical="center"/>
    </xf>
    <xf numFmtId="0" fontId="40" fillId="24" borderId="0" applyNumberFormat="0" applyBorder="0" applyAlignment="0" applyProtection="0">
      <alignment vertical="center"/>
    </xf>
    <xf numFmtId="0" fontId="6" fillId="0" borderId="0" applyNumberFormat="0" applyFont="0" applyFill="0" applyBorder="0" applyProtection="0">
      <alignment vertical="center"/>
    </xf>
    <xf numFmtId="0" fontId="40" fillId="24"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54" fillId="9"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6" fillId="0" borderId="0" applyNumberFormat="0" applyFont="0" applyFill="0" applyBorder="0" applyProtection="0">
      <alignment vertical="center"/>
    </xf>
    <xf numFmtId="0" fontId="40" fillId="9"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6" fillId="0" borderId="0" applyNumberFormat="0" applyFont="0" applyFill="0" applyBorder="0" applyProtection="0">
      <alignment vertical="center"/>
    </xf>
    <xf numFmtId="0" fontId="54" fillId="14" borderId="0" applyNumberFormat="0" applyBorder="0" applyAlignment="0" applyProtection="0">
      <alignment vertical="center"/>
    </xf>
    <xf numFmtId="0" fontId="6" fillId="0" borderId="0" applyNumberFormat="0" applyFont="0" applyFill="0" applyBorder="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40" fillId="28" borderId="0" applyNumberFormat="0" applyBorder="0" applyAlignment="0" applyProtection="0">
      <alignment vertical="center"/>
    </xf>
    <xf numFmtId="0" fontId="6" fillId="0" borderId="0" applyNumberFormat="0" applyFont="0" applyFill="0" applyBorder="0" applyProtection="0">
      <alignment vertical="center"/>
    </xf>
    <xf numFmtId="0" fontId="40" fillId="14"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0" fillId="14"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0" fillId="19" borderId="0" applyNumberFormat="0" applyBorder="0" applyAlignment="0" applyProtection="0">
      <alignment vertical="center"/>
    </xf>
    <xf numFmtId="0" fontId="6" fillId="0" borderId="0" applyNumberFormat="0" applyFont="0" applyFill="0" applyBorder="0" applyProtection="0">
      <alignment vertical="center"/>
    </xf>
    <xf numFmtId="0" fontId="54" fillId="29" borderId="0" applyNumberFormat="0" applyBorder="0" applyAlignment="0" applyProtection="0">
      <alignment vertical="center"/>
    </xf>
    <xf numFmtId="0" fontId="6" fillId="0" borderId="0" applyNumberFormat="0" applyFont="0" applyFill="0" applyBorder="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6" fillId="0" borderId="0" applyNumberFormat="0" applyFont="0" applyFill="0" applyBorder="0" applyProtection="0">
      <alignment vertical="center"/>
    </xf>
    <xf numFmtId="0" fontId="40" fillId="19"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0" fillId="19"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6" fillId="0" borderId="0" applyNumberFormat="0" applyFont="0" applyFill="0" applyBorder="0" applyProtection="0">
      <alignment vertical="center"/>
    </xf>
    <xf numFmtId="0" fontId="54" fillId="22" borderId="0" applyNumberFormat="0" applyBorder="0" applyAlignment="0" applyProtection="0">
      <alignment vertical="center"/>
    </xf>
    <xf numFmtId="0" fontId="6" fillId="0" borderId="0" applyNumberFormat="0" applyFont="0" applyFill="0" applyBorder="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40" fillId="22" borderId="0" applyNumberFormat="0" applyBorder="0" applyAlignment="0" applyProtection="0">
      <alignment vertical="center"/>
    </xf>
    <xf numFmtId="0" fontId="6" fillId="0" borderId="0" applyNumberFormat="0" applyFont="0" applyFill="0" applyBorder="0" applyProtection="0">
      <alignment vertical="center"/>
    </xf>
    <xf numFmtId="0" fontId="40" fillId="22"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0" fillId="22"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6" fillId="0" borderId="0" applyNumberFormat="0" applyFont="0" applyFill="0" applyBorder="0" applyProtection="0">
      <alignment vertical="center"/>
    </xf>
    <xf numFmtId="0" fontId="54" fillId="26" borderId="0" applyNumberFormat="0" applyBorder="0" applyAlignment="0" applyProtection="0">
      <alignment vertical="center"/>
    </xf>
    <xf numFmtId="0" fontId="6" fillId="0" borderId="0" applyNumberFormat="0" applyFont="0" applyFill="0" applyBorder="0" applyProtection="0">
      <alignment vertical="center"/>
    </xf>
    <xf numFmtId="0" fontId="54" fillId="26" borderId="0" applyNumberFormat="0" applyBorder="0" applyAlignment="0" applyProtection="0">
      <alignment vertical="center"/>
    </xf>
    <xf numFmtId="0" fontId="54" fillId="2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6" fillId="0" borderId="0" applyNumberFormat="0" applyFont="0" applyFill="0" applyBorder="0" applyProtection="0">
      <alignment vertical="center"/>
    </xf>
    <xf numFmtId="0" fontId="40" fillId="26"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0" fillId="26"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57" fillId="21"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3" fillId="21" borderId="0" applyNumberFormat="0" applyBorder="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57" fillId="21" borderId="0" applyNumberFormat="0" applyBorder="0" applyAlignment="0" applyProtection="0">
      <alignment vertical="center"/>
    </xf>
    <xf numFmtId="0" fontId="57" fillId="21" borderId="0" applyNumberFormat="0" applyBorder="0" applyAlignment="0" applyProtection="0">
      <alignment vertical="center"/>
    </xf>
    <xf numFmtId="0" fontId="6" fillId="0" borderId="0" applyNumberFormat="0" applyFont="0" applyFill="0" applyBorder="0" applyProtection="0">
      <alignment vertical="center"/>
    </xf>
    <xf numFmtId="0" fontId="41" fillId="18" borderId="28" applyNumberFormat="0" applyAlignment="0" applyProtection="0">
      <alignment vertical="center"/>
    </xf>
    <xf numFmtId="0" fontId="41" fillId="18" borderId="28" applyNumberForma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1" fillId="2" borderId="28" applyNumberForma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1" fillId="2" borderId="28" applyNumberFormat="0" applyAlignment="0" applyProtection="0">
      <alignment vertical="center"/>
    </xf>
    <xf numFmtId="0" fontId="41" fillId="2" borderId="28" applyNumberForma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1" fillId="18" borderId="28" applyNumberForma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1" fillId="18" borderId="28" applyNumberFormat="0" applyAlignment="0" applyProtection="0">
      <alignment vertical="center"/>
    </xf>
    <xf numFmtId="0" fontId="41" fillId="18" borderId="28" applyNumberFormat="0" applyAlignment="0" applyProtection="0">
      <alignment vertical="center"/>
    </xf>
    <xf numFmtId="0" fontId="41" fillId="18" borderId="28" applyNumberForma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48" fillId="13" borderId="31" applyNumberFormat="0" applyAlignment="0" applyProtection="0">
      <alignment vertical="center"/>
    </xf>
    <xf numFmtId="0" fontId="48" fillId="13" borderId="31" applyNumberFormat="0" applyAlignment="0" applyProtection="0">
      <alignment vertical="center"/>
    </xf>
    <xf numFmtId="0" fontId="48" fillId="13" borderId="31" applyNumberFormat="0" applyAlignment="0" applyProtection="0">
      <alignment vertical="center"/>
    </xf>
    <xf numFmtId="1" fontId="10" fillId="0" borderId="1">
      <alignment vertical="center"/>
      <protection locked="0"/>
    </xf>
    <xf numFmtId="1" fontId="10" fillId="0" borderId="1">
      <alignment vertical="center"/>
      <protection locked="0"/>
    </xf>
    <xf numFmtId="1" fontId="10" fillId="0" borderId="1">
      <alignment vertical="center"/>
      <protection locked="0"/>
    </xf>
    <xf numFmtId="1" fontId="10" fillId="0" borderId="1">
      <alignment vertical="center"/>
      <protection locked="0"/>
    </xf>
    <xf numFmtId="1" fontId="10" fillId="0" borderId="1">
      <alignment vertical="center"/>
      <protection locked="0"/>
    </xf>
    <xf numFmtId="1" fontId="10" fillId="0" borderId="1">
      <alignment vertical="center"/>
      <protection locked="0"/>
    </xf>
    <xf numFmtId="0" fontId="84" fillId="0" borderId="0">
      <alignment vertical="center"/>
    </xf>
    <xf numFmtId="0" fontId="84" fillId="0" borderId="0">
      <alignment vertical="center"/>
    </xf>
    <xf numFmtId="0" fontId="84" fillId="0" borderId="0"/>
    <xf numFmtId="184" fontId="10" fillId="0" borderId="1">
      <alignment vertical="center"/>
      <protection locked="0"/>
    </xf>
    <xf numFmtId="184" fontId="10" fillId="0" borderId="1">
      <alignment vertical="center"/>
      <protection locked="0"/>
    </xf>
    <xf numFmtId="184" fontId="10" fillId="0" borderId="1">
      <alignment vertical="center"/>
      <protection locked="0"/>
    </xf>
    <xf numFmtId="184" fontId="10" fillId="0" borderId="1">
      <alignment vertical="center"/>
      <protection locked="0"/>
    </xf>
    <xf numFmtId="184" fontId="10" fillId="0" borderId="1">
      <alignment vertical="center"/>
      <protection locked="0"/>
    </xf>
    <xf numFmtId="184" fontId="10" fillId="0" borderId="1">
      <alignment vertical="center"/>
      <protection locked="0"/>
    </xf>
    <xf numFmtId="0" fontId="52" fillId="0" borderId="0">
      <alignment vertical="center"/>
    </xf>
    <xf numFmtId="0" fontId="52" fillId="0" borderId="0">
      <alignment vertical="center"/>
    </xf>
    <xf numFmtId="0" fontId="52" fillId="0" borderId="0">
      <alignment vertical="center"/>
    </xf>
    <xf numFmtId="0" fontId="52" fillId="0" borderId="0"/>
    <xf numFmtId="0" fontId="60" fillId="0" borderId="0">
      <alignment vertical="center"/>
    </xf>
    <xf numFmtId="0" fontId="60" fillId="0" borderId="0"/>
    <xf numFmtId="0" fontId="52" fillId="0" borderId="0"/>
    <xf numFmtId="0" fontId="6" fillId="0" borderId="0">
      <alignment vertical="center"/>
    </xf>
    <xf numFmtId="0" fontId="6" fillId="0" borderId="0"/>
    <xf numFmtId="0" fontId="6" fillId="0" borderId="0">
      <alignment vertical="center"/>
    </xf>
    <xf numFmtId="0" fontId="6" fillId="0" borderId="0"/>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11" borderId="27" applyNumberFormat="0" applyFon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11" borderId="27" applyNumberFormat="0" applyFont="0" applyAlignment="0" applyProtection="0">
      <alignment vertical="center"/>
    </xf>
    <xf numFmtId="0" fontId="86" fillId="11" borderId="27" applyNumberFormat="0" applyFon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11" borderId="27" applyNumberFormat="0" applyFont="0" applyAlignment="0" applyProtection="0">
      <alignment vertical="center"/>
    </xf>
    <xf numFmtId="0" fontId="86" fillId="11" borderId="27" applyNumberFormat="0" applyFont="0" applyAlignment="0" applyProtection="0">
      <alignment vertical="center"/>
    </xf>
    <xf numFmtId="0" fontId="19" fillId="11" borderId="27" applyNumberFormat="0" applyFon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11" borderId="27" applyNumberFormat="0" applyFon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19" fillId="11" borderId="27" applyNumberFormat="0" applyFont="0" applyAlignment="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6" fillId="0" borderId="0" applyNumberFormat="0" applyFont="0" applyFill="0" applyBorder="0" applyProtection="0">
      <alignment vertical="center"/>
    </xf>
    <xf numFmtId="0" fontId="86" fillId="11" borderId="27" applyNumberFormat="0" applyFont="0" applyAlignment="0" applyProtection="0">
      <alignment vertical="center"/>
    </xf>
    <xf numFmtId="0" fontId="86" fillId="11" borderId="27" applyNumberFormat="0" applyFont="0" applyAlignment="0" applyProtection="0">
      <alignment vertical="center"/>
    </xf>
    <xf numFmtId="0" fontId="86" fillId="11" borderId="27" applyNumberFormat="0" applyFont="0" applyAlignment="0" applyProtection="0">
      <alignment vertical="center"/>
    </xf>
    <xf numFmtId="38" fontId="86" fillId="0" borderId="0" applyFont="0" applyFill="0" applyBorder="0" applyAlignment="0" applyProtection="0">
      <alignment vertical="center"/>
    </xf>
    <xf numFmtId="40" fontId="86" fillId="0" borderId="0" applyFont="0" applyFill="0" applyBorder="0" applyAlignment="0" applyProtection="0">
      <alignment vertical="center"/>
    </xf>
    <xf numFmtId="0" fontId="86" fillId="0" borderId="0" applyFont="0" applyFill="0" applyBorder="0" applyAlignment="0" applyProtection="0">
      <alignment vertical="center"/>
    </xf>
    <xf numFmtId="0" fontId="85" fillId="0" borderId="0">
      <alignment vertical="center"/>
    </xf>
  </cellStyleXfs>
  <cellXfs count="611">
    <xf numFmtId="0" fontId="0" fillId="0" borderId="0" xfId="0" applyAlignment="1"/>
    <xf numFmtId="0" fontId="2" fillId="0" borderId="0" xfId="267"/>
    <xf numFmtId="0" fontId="3" fillId="0" borderId="0" xfId="4081" applyNumberFormat="1" applyFont="1" applyFill="1" applyAlignment="1">
      <alignment horizontal="right" wrapText="1"/>
    </xf>
    <xf numFmtId="0" fontId="4" fillId="0" borderId="1" xfId="4804" applyFont="1" applyFill="1" applyBorder="1" applyAlignment="1">
      <alignment horizontal="center" vertical="center" wrapText="1"/>
    </xf>
    <xf numFmtId="0" fontId="4" fillId="0" borderId="1" xfId="4081" applyNumberFormat="1" applyFont="1" applyFill="1" applyBorder="1" applyAlignment="1">
      <alignment horizontal="center" vertical="center" wrapText="1"/>
    </xf>
    <xf numFmtId="0" fontId="4" fillId="0" borderId="1" xfId="3214" applyFont="1" applyFill="1" applyBorder="1" applyAlignment="1">
      <alignment vertical="center" wrapText="1"/>
    </xf>
    <xf numFmtId="0" fontId="5" fillId="0" borderId="1" xfId="3214" applyFont="1" applyFill="1" applyBorder="1" applyAlignment="1">
      <alignment horizontal="center" vertical="center" wrapText="1"/>
    </xf>
    <xf numFmtId="0" fontId="6" fillId="0" borderId="1" xfId="3214" applyFont="1" applyFill="1" applyBorder="1" applyAlignment="1">
      <alignment vertical="center" wrapText="1"/>
    </xf>
    <xf numFmtId="0" fontId="6" fillId="0" borderId="1" xfId="3214" applyFont="1" applyFill="1" applyBorder="1" applyAlignment="1">
      <alignment horizontal="center" vertical="center" wrapText="1"/>
    </xf>
    <xf numFmtId="0" fontId="6" fillId="0" borderId="1" xfId="3214" applyFont="1" applyBorder="1" applyAlignment="1">
      <alignment vertical="center" wrapText="1"/>
    </xf>
    <xf numFmtId="0" fontId="6" fillId="0" borderId="1" xfId="3214" applyFont="1" applyBorder="1" applyAlignment="1">
      <alignment horizontal="center" vertical="center" wrapText="1"/>
    </xf>
    <xf numFmtId="0" fontId="7" fillId="0" borderId="1" xfId="3214" applyFont="1" applyBorder="1" applyAlignment="1">
      <alignment vertical="center" wrapText="1"/>
    </xf>
    <xf numFmtId="0" fontId="8" fillId="0" borderId="1" xfId="3214" applyFont="1" applyBorder="1" applyAlignment="1">
      <alignment vertical="center" wrapText="1"/>
    </xf>
    <xf numFmtId="0" fontId="5" fillId="0" borderId="1" xfId="3214" applyFont="1" applyBorder="1" applyAlignment="1">
      <alignment horizontal="center" vertical="center" wrapText="1"/>
    </xf>
    <xf numFmtId="0" fontId="0" fillId="0" borderId="1" xfId="3214" applyFont="1" applyBorder="1" applyAlignment="1">
      <alignment vertical="center" wrapText="1"/>
    </xf>
    <xf numFmtId="0" fontId="0" fillId="0" borderId="1" xfId="3214" applyFont="1" applyFill="1" applyBorder="1" applyAlignment="1">
      <alignment vertical="center" wrapText="1"/>
    </xf>
    <xf numFmtId="0" fontId="8" fillId="0" borderId="1" xfId="3214" applyFont="1" applyFill="1" applyBorder="1" applyAlignment="1">
      <alignment vertical="center" wrapText="1"/>
    </xf>
    <xf numFmtId="0" fontId="7" fillId="0" borderId="1" xfId="3214" applyFont="1" applyFill="1" applyBorder="1" applyAlignment="1">
      <alignment vertical="center" wrapText="1"/>
    </xf>
    <xf numFmtId="0" fontId="2" fillId="0" borderId="0" xfId="0" applyFont="1" applyAlignment="1"/>
    <xf numFmtId="0" fontId="10" fillId="0" borderId="0" xfId="0" applyFont="1" applyBorder="1" applyAlignment="1">
      <alignment vertical="center"/>
    </xf>
    <xf numFmtId="0" fontId="10" fillId="0" borderId="0" xfId="0" applyFont="1" applyBorder="1" applyAlignment="1">
      <alignment horizontal="right"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86" fillId="0" borderId="0" xfId="4799">
      <alignment vertical="center"/>
    </xf>
    <xf numFmtId="0" fontId="13" fillId="0" borderId="0" xfId="4799" applyFont="1" applyAlignment="1">
      <alignment horizontal="centerContinuous" vertical="center"/>
    </xf>
    <xf numFmtId="0" fontId="86" fillId="0" borderId="0" xfId="4799" applyAlignment="1">
      <alignment horizontal="centerContinuous" vertical="center"/>
    </xf>
    <xf numFmtId="0" fontId="86" fillId="0" borderId="0" xfId="4799" applyAlignment="1">
      <alignment horizontal="right" vertical="center"/>
    </xf>
    <xf numFmtId="0" fontId="86" fillId="0" borderId="2" xfId="4799" applyBorder="1" applyAlignment="1">
      <alignment horizontal="center" vertical="center"/>
    </xf>
    <xf numFmtId="3" fontId="14" fillId="0" borderId="1" xfId="2865" applyNumberFormat="1" applyFont="1" applyFill="1" applyBorder="1" applyAlignment="1" applyProtection="1">
      <alignment vertical="center"/>
    </xf>
    <xf numFmtId="0" fontId="86" fillId="0" borderId="1" xfId="4799" applyBorder="1" applyAlignment="1">
      <alignment horizontal="center" vertical="center"/>
    </xf>
    <xf numFmtId="3" fontId="15" fillId="0" borderId="1" xfId="2865" applyNumberFormat="1" applyFont="1" applyFill="1" applyBorder="1" applyAlignment="1" applyProtection="1">
      <alignment vertical="center"/>
    </xf>
    <xf numFmtId="0" fontId="15" fillId="0" borderId="1" xfId="2865" applyFont="1" applyBorder="1" applyAlignment="1">
      <alignment horizontal="left" vertical="center"/>
    </xf>
    <xf numFmtId="0" fontId="16" fillId="0" borderId="1" xfId="2865" applyFont="1" applyBorder="1" applyAlignment="1">
      <alignment horizontal="left" vertical="center"/>
    </xf>
    <xf numFmtId="0" fontId="86" fillId="0" borderId="1" xfId="4799" applyBorder="1">
      <alignment vertical="center"/>
    </xf>
    <xf numFmtId="3" fontId="14" fillId="0" borderId="1" xfId="2865" applyNumberFormat="1" applyFont="1" applyFill="1" applyBorder="1" applyAlignment="1" applyProtection="1">
      <alignment horizontal="left" vertical="center"/>
    </xf>
    <xf numFmtId="0" fontId="15" fillId="0" borderId="1" xfId="2865" applyNumberFormat="1" applyFont="1" applyBorder="1" applyAlignment="1">
      <alignment horizontal="left" vertical="center" wrapText="1"/>
    </xf>
    <xf numFmtId="0" fontId="8" fillId="0" borderId="1"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0" fontId="12" fillId="0" borderId="2"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2" fillId="0" borderId="1" xfId="0" applyFont="1" applyBorder="1" applyAlignment="1"/>
    <xf numFmtId="0" fontId="11" fillId="0" borderId="1" xfId="0" applyFont="1" applyBorder="1" applyAlignment="1">
      <alignment horizontal="left" vertical="center"/>
    </xf>
    <xf numFmtId="0" fontId="12" fillId="0" borderId="1" xfId="0" applyFont="1" applyBorder="1" applyAlignment="1">
      <alignment horizontal="left" vertical="center"/>
    </xf>
    <xf numFmtId="0" fontId="12" fillId="0" borderId="3" xfId="0" applyFont="1" applyBorder="1" applyAlignment="1">
      <alignment horizontal="center" vertical="center"/>
    </xf>
    <xf numFmtId="0" fontId="2" fillId="0" borderId="1" xfId="0" applyFont="1" applyBorder="1" applyAlignment="1">
      <alignment vertical="center"/>
    </xf>
    <xf numFmtId="0" fontId="15" fillId="0" borderId="0" xfId="0" applyFont="1" applyAlignment="1"/>
    <xf numFmtId="0" fontId="16" fillId="2" borderId="0" xfId="0" applyNumberFormat="1" applyFont="1" applyFill="1" applyBorder="1" applyAlignment="1" applyProtection="1">
      <alignment vertical="center"/>
    </xf>
    <xf numFmtId="0" fontId="19"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right" vertical="center"/>
    </xf>
    <xf numFmtId="0" fontId="3" fillId="2" borderId="4" xfId="0" applyNumberFormat="1" applyFont="1" applyFill="1" applyBorder="1" applyAlignment="1" applyProtection="1">
      <alignment vertical="center"/>
    </xf>
    <xf numFmtId="0" fontId="3" fillId="2" borderId="4" xfId="0" applyNumberFormat="1" applyFont="1" applyFill="1" applyBorder="1" applyAlignment="1" applyProtection="1">
      <alignment horizontal="right" vertical="center"/>
    </xf>
    <xf numFmtId="0" fontId="19" fillId="2" borderId="4" xfId="0" applyNumberFormat="1" applyFont="1" applyFill="1" applyBorder="1" applyAlignment="1" applyProtection="1">
      <alignment horizontal="right" vertical="center"/>
    </xf>
    <xf numFmtId="0" fontId="21" fillId="2" borderId="5" xfId="0" applyNumberFormat="1" applyFont="1" applyFill="1" applyBorder="1" applyAlignment="1" applyProtection="1">
      <alignment horizontal="center" vertical="center"/>
    </xf>
    <xf numFmtId="0" fontId="19" fillId="2" borderId="5" xfId="0" applyNumberFormat="1" applyFont="1" applyFill="1" applyBorder="1" applyAlignment="1" applyProtection="1">
      <alignment vertical="center"/>
    </xf>
    <xf numFmtId="186" fontId="19" fillId="0" borderId="5" xfId="0" applyNumberFormat="1" applyFont="1" applyFill="1" applyBorder="1" applyAlignment="1" applyProtection="1">
      <alignment horizontal="center" vertical="center"/>
    </xf>
    <xf numFmtId="0" fontId="19" fillId="0" borderId="6" xfId="0" applyNumberFormat="1" applyFont="1" applyFill="1" applyBorder="1" applyAlignment="1" applyProtection="1">
      <alignment vertical="center"/>
    </xf>
    <xf numFmtId="0" fontId="19" fillId="0" borderId="5" xfId="0" applyNumberFormat="1" applyFont="1" applyFill="1" applyBorder="1" applyAlignment="1" applyProtection="1">
      <alignment horizontal="center" vertical="center"/>
    </xf>
    <xf numFmtId="0" fontId="19" fillId="0" borderId="5" xfId="0" applyNumberFormat="1" applyFont="1" applyFill="1" applyBorder="1" applyAlignment="1" applyProtection="1">
      <alignment vertical="center"/>
    </xf>
    <xf numFmtId="186" fontId="19" fillId="0" borderId="6" xfId="0" applyNumberFormat="1" applyFont="1" applyFill="1" applyBorder="1" applyAlignment="1" applyProtection="1">
      <alignment horizontal="center" vertical="center"/>
    </xf>
    <xf numFmtId="0" fontId="19" fillId="2" borderId="5" xfId="0" applyNumberFormat="1"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center" vertical="center"/>
    </xf>
    <xf numFmtId="186" fontId="7" fillId="0" borderId="1" xfId="0" applyNumberFormat="1" applyFont="1" applyFill="1" applyBorder="1" applyAlignment="1" applyProtection="1">
      <alignment horizontal="center" vertical="center"/>
    </xf>
    <xf numFmtId="186" fontId="7" fillId="0" borderId="6"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vertical="center"/>
    </xf>
    <xf numFmtId="0" fontId="8" fillId="2" borderId="0" xfId="0" applyNumberFormat="1" applyFont="1" applyFill="1" applyBorder="1" applyAlignment="1" applyProtection="1">
      <alignment horizontal="center" vertical="center"/>
    </xf>
    <xf numFmtId="0" fontId="0" fillId="2" borderId="4" xfId="0" applyNumberFormat="1" applyFont="1" applyFill="1" applyBorder="1" applyAlignment="1" applyProtection="1">
      <alignment vertical="center"/>
    </xf>
    <xf numFmtId="0" fontId="0" fillId="2" borderId="0" xfId="0" applyNumberFormat="1" applyFont="1" applyFill="1" applyBorder="1" applyAlignment="1" applyProtection="1">
      <alignment vertical="center"/>
    </xf>
    <xf numFmtId="0" fontId="11" fillId="2" borderId="7" xfId="0" applyNumberFormat="1" applyFont="1" applyFill="1" applyBorder="1" applyAlignment="1" applyProtection="1">
      <alignment horizontal="center" vertical="center"/>
    </xf>
    <xf numFmtId="0" fontId="11" fillId="2" borderId="7" xfId="0" applyNumberFormat="1" applyFont="1" applyFill="1" applyBorder="1" applyAlignment="1" applyProtection="1">
      <alignment horizontal="center" vertical="center" wrapText="1"/>
    </xf>
    <xf numFmtId="0" fontId="11" fillId="2" borderId="12" xfId="0" applyNumberFormat="1" applyFont="1" applyFill="1" applyBorder="1" applyAlignment="1" applyProtection="1">
      <alignment horizontal="center" vertical="center" wrapText="1"/>
    </xf>
    <xf numFmtId="0" fontId="10" fillId="2" borderId="14" xfId="0" applyNumberFormat="1" applyFont="1" applyFill="1" applyBorder="1" applyAlignment="1" applyProtection="1">
      <alignment vertical="center" wrapText="1"/>
    </xf>
    <xf numFmtId="186" fontId="15" fillId="2" borderId="1" xfId="0" applyNumberFormat="1" applyFont="1" applyFill="1" applyBorder="1" applyAlignment="1" applyProtection="1">
      <alignment horizontal="center" vertical="center" wrapText="1"/>
    </xf>
    <xf numFmtId="186" fontId="15" fillId="2" borderId="1" xfId="0" applyNumberFormat="1" applyFont="1" applyFill="1" applyBorder="1" applyAlignment="1">
      <alignment horizontal="center" vertical="center" wrapText="1"/>
    </xf>
    <xf numFmtId="0" fontId="10" fillId="2" borderId="5" xfId="0" applyNumberFormat="1" applyFont="1" applyFill="1" applyBorder="1" applyAlignment="1" applyProtection="1">
      <alignment vertical="center" wrapText="1"/>
    </xf>
    <xf numFmtId="0" fontId="10" fillId="2" borderId="8" xfId="0" applyNumberFormat="1" applyFont="1" applyFill="1" applyBorder="1" applyAlignment="1" applyProtection="1">
      <alignment vertical="center" wrapText="1"/>
    </xf>
    <xf numFmtId="186" fontId="14" fillId="2" borderId="1" xfId="0" applyNumberFormat="1" applyFont="1" applyFill="1" applyBorder="1" applyAlignment="1" applyProtection="1">
      <alignment horizontal="center" vertical="center" wrapText="1"/>
    </xf>
    <xf numFmtId="0" fontId="10" fillId="2" borderId="8" xfId="0" applyNumberFormat="1" applyFont="1" applyFill="1" applyBorder="1" applyAlignment="1" applyProtection="1">
      <alignment horizontal="center" vertical="center"/>
    </xf>
    <xf numFmtId="186" fontId="10" fillId="2" borderId="1" xfId="0" applyNumberFormat="1" applyFont="1" applyFill="1" applyBorder="1" applyAlignment="1" applyProtection="1">
      <alignment horizontal="center" vertical="center"/>
    </xf>
    <xf numFmtId="0" fontId="15" fillId="0" borderId="0" xfId="0" applyFont="1" applyFill="1" applyAlignment="1"/>
    <xf numFmtId="0" fontId="0" fillId="2" borderId="0" xfId="0" applyNumberFormat="1" applyFont="1" applyFill="1" applyBorder="1" applyAlignment="1" applyProtection="1">
      <alignment horizontal="right" vertical="center"/>
    </xf>
    <xf numFmtId="0" fontId="0" fillId="2" borderId="0" xfId="0" applyNumberFormat="1" applyFont="1" applyFill="1" applyBorder="1" applyAlignment="1" applyProtection="1">
      <alignment horizontal="right"/>
    </xf>
    <xf numFmtId="0" fontId="0" fillId="2" borderId="4" xfId="0" applyNumberFormat="1" applyFont="1" applyFill="1" applyBorder="1" applyAlignment="1" applyProtection="1">
      <alignment horizontal="right"/>
    </xf>
    <xf numFmtId="0" fontId="10" fillId="2" borderId="4" xfId="0" applyNumberFormat="1" applyFont="1" applyFill="1" applyBorder="1" applyAlignment="1" applyProtection="1">
      <alignment horizontal="right"/>
    </xf>
    <xf numFmtId="0" fontId="22" fillId="2" borderId="0" xfId="0" applyNumberFormat="1" applyFont="1" applyFill="1" applyBorder="1" applyAlignment="1" applyProtection="1">
      <alignment vertical="center"/>
    </xf>
    <xf numFmtId="0" fontId="3" fillId="2" borderId="0" xfId="80" applyNumberFormat="1" applyFont="1" applyFill="1" applyBorder="1" applyAlignment="1" applyProtection="1">
      <alignment horizontal="center" vertical="center"/>
    </xf>
    <xf numFmtId="0" fontId="3" fillId="2" borderId="0" xfId="80" applyNumberFormat="1" applyFont="1" applyFill="1" applyBorder="1" applyAlignment="1" applyProtection="1">
      <alignment horizontal="right" vertical="center"/>
    </xf>
    <xf numFmtId="0" fontId="3" fillId="2" borderId="4" xfId="80" applyNumberFormat="1" applyFont="1" applyFill="1" applyBorder="1" applyAlignment="1" applyProtection="1">
      <alignment vertical="center"/>
    </xf>
    <xf numFmtId="0" fontId="3" fillId="2" borderId="4" xfId="80" applyNumberFormat="1" applyFont="1" applyFill="1" applyBorder="1" applyAlignment="1" applyProtection="1">
      <alignment horizontal="right" vertical="center"/>
    </xf>
    <xf numFmtId="0" fontId="19" fillId="2" borderId="4" xfId="80" applyNumberFormat="1" applyFont="1" applyFill="1" applyBorder="1" applyAlignment="1" applyProtection="1">
      <alignment horizontal="right" vertical="center"/>
    </xf>
    <xf numFmtId="0" fontId="21" fillId="2" borderId="5" xfId="80" applyNumberFormat="1" applyFont="1" applyFill="1" applyBorder="1" applyAlignment="1" applyProtection="1">
      <alignment horizontal="center" vertical="center"/>
    </xf>
    <xf numFmtId="0" fontId="19" fillId="2" borderId="5" xfId="80" applyNumberFormat="1" applyFont="1" applyFill="1" applyBorder="1" applyAlignment="1" applyProtection="1">
      <alignment vertical="center"/>
    </xf>
    <xf numFmtId="185" fontId="19" fillId="0" borderId="5" xfId="80" applyNumberFormat="1" applyFont="1" applyFill="1" applyBorder="1" applyAlignment="1" applyProtection="1">
      <alignment horizontal="center" vertical="center"/>
    </xf>
    <xf numFmtId="0" fontId="19" fillId="0" borderId="6" xfId="80" applyNumberFormat="1" applyFont="1" applyFill="1" applyBorder="1" applyAlignment="1" applyProtection="1">
      <alignment vertical="center"/>
    </xf>
    <xf numFmtId="0" fontId="19" fillId="2" borderId="16" xfId="80" applyNumberFormat="1" applyFont="1" applyFill="1" applyBorder="1" applyAlignment="1" applyProtection="1">
      <alignment horizontal="center" vertical="center"/>
    </xf>
    <xf numFmtId="185" fontId="19" fillId="0" borderId="16" xfId="80" applyNumberFormat="1" applyFont="1" applyFill="1" applyBorder="1" applyAlignment="1" applyProtection="1">
      <alignment horizontal="center" vertical="center"/>
    </xf>
    <xf numFmtId="0" fontId="19" fillId="2" borderId="17" xfId="80" applyNumberFormat="1" applyFont="1" applyFill="1" applyBorder="1" applyAlignment="1" applyProtection="1">
      <alignment horizontal="center" vertical="center"/>
    </xf>
    <xf numFmtId="185" fontId="19" fillId="0" borderId="17" xfId="80" applyNumberFormat="1" applyFont="1" applyFill="1" applyBorder="1" applyAlignment="1" applyProtection="1">
      <alignment horizontal="center" vertical="center"/>
    </xf>
    <xf numFmtId="0" fontId="19" fillId="2" borderId="5" xfId="80" applyNumberFormat="1" applyFont="1" applyFill="1" applyBorder="1" applyAlignment="1" applyProtection="1">
      <alignment horizontal="center" vertical="center"/>
    </xf>
    <xf numFmtId="0" fontId="19" fillId="0" borderId="5" xfId="80" applyNumberFormat="1" applyFont="1" applyFill="1" applyBorder="1" applyAlignment="1" applyProtection="1">
      <alignment vertical="center"/>
    </xf>
    <xf numFmtId="185" fontId="19" fillId="0" borderId="6" xfId="80" applyNumberFormat="1" applyFont="1" applyFill="1" applyBorder="1" applyAlignment="1" applyProtection="1">
      <alignment horizontal="center" vertical="center"/>
    </xf>
    <xf numFmtId="186" fontId="19" fillId="0" borderId="6" xfId="80" applyNumberFormat="1" applyFont="1" applyFill="1" applyBorder="1" applyAlignment="1" applyProtection="1">
      <alignment horizontal="center" vertical="center"/>
    </xf>
    <xf numFmtId="0" fontId="19" fillId="0" borderId="5" xfId="80" applyNumberFormat="1" applyFont="1" applyFill="1" applyBorder="1" applyAlignment="1" applyProtection="1">
      <alignment horizontal="center" vertical="center"/>
    </xf>
    <xf numFmtId="0" fontId="23" fillId="2" borderId="0" xfId="3428" applyNumberFormat="1" applyFont="1" applyFill="1" applyBorder="1" applyAlignment="1" applyProtection="1">
      <alignment horizontal="center" vertical="center"/>
    </xf>
    <xf numFmtId="0" fontId="3" fillId="2" borderId="0" xfId="3428" applyNumberFormat="1" applyFont="1" applyFill="1" applyBorder="1" applyAlignment="1" applyProtection="1">
      <alignment horizontal="right" vertical="center"/>
    </xf>
    <xf numFmtId="0" fontId="3" fillId="2" borderId="4" xfId="3428" applyNumberFormat="1" applyFont="1" applyFill="1" applyBorder="1" applyAlignment="1" applyProtection="1">
      <alignment vertical="center"/>
    </xf>
    <xf numFmtId="0" fontId="3" fillId="2" borderId="4" xfId="3428" applyNumberFormat="1" applyFont="1" applyFill="1" applyBorder="1" applyAlignment="1" applyProtection="1">
      <alignment horizontal="right" vertical="center"/>
    </xf>
    <xf numFmtId="0" fontId="19" fillId="2" borderId="13" xfId="3428" applyNumberFormat="1" applyFont="1" applyFill="1" applyBorder="1" applyAlignment="1" applyProtection="1">
      <alignment horizontal="right" vertical="center"/>
    </xf>
    <xf numFmtId="0" fontId="21" fillId="2" borderId="5" xfId="3428" applyNumberFormat="1" applyFont="1" applyFill="1" applyBorder="1" applyAlignment="1" applyProtection="1">
      <alignment horizontal="center" vertical="center"/>
    </xf>
    <xf numFmtId="0" fontId="19" fillId="2" borderId="5" xfId="3428" applyNumberFormat="1" applyFont="1" applyFill="1" applyBorder="1" applyAlignment="1" applyProtection="1">
      <alignment vertical="center"/>
    </xf>
    <xf numFmtId="0" fontId="10" fillId="0" borderId="1" xfId="137" applyFont="1" applyBorder="1" applyAlignment="1">
      <alignment horizontal="center" vertical="center"/>
    </xf>
    <xf numFmtId="0" fontId="19" fillId="0" borderId="5" xfId="3428" applyNumberFormat="1" applyFont="1" applyFill="1" applyBorder="1" applyAlignment="1" applyProtection="1">
      <alignment vertical="center"/>
    </xf>
    <xf numFmtId="0" fontId="10" fillId="2" borderId="1" xfId="137" applyFont="1" applyFill="1" applyBorder="1" applyAlignment="1">
      <alignment horizontal="center" vertical="center"/>
    </xf>
    <xf numFmtId="0" fontId="19" fillId="0" borderId="5" xfId="3428" applyNumberFormat="1" applyFont="1" applyFill="1" applyBorder="1" applyAlignment="1" applyProtection="1">
      <alignment horizontal="center" vertical="center"/>
    </xf>
    <xf numFmtId="0" fontId="10" fillId="0" borderId="1" xfId="3428" applyFont="1" applyBorder="1" applyAlignment="1">
      <alignment horizontal="center" vertical="center"/>
    </xf>
    <xf numFmtId="0" fontId="19" fillId="2" borderId="5" xfId="3428" applyNumberFormat="1" applyFont="1" applyFill="1" applyBorder="1" applyAlignment="1" applyProtection="1">
      <alignment horizontal="center" vertical="center"/>
    </xf>
    <xf numFmtId="0" fontId="19" fillId="2" borderId="7" xfId="3428" applyNumberFormat="1" applyFont="1" applyFill="1" applyBorder="1" applyAlignment="1" applyProtection="1">
      <alignment vertical="center"/>
    </xf>
    <xf numFmtId="0" fontId="10" fillId="0" borderId="2" xfId="3428" applyFont="1" applyBorder="1" applyAlignment="1">
      <alignment horizontal="center" vertical="center"/>
    </xf>
    <xf numFmtId="185" fontId="10" fillId="0" borderId="2" xfId="3428" applyNumberFormat="1" applyFont="1" applyBorder="1" applyAlignment="1">
      <alignment horizontal="center" vertical="center"/>
    </xf>
    <xf numFmtId="0" fontId="19" fillId="0" borderId="7" xfId="3428" applyNumberFormat="1" applyFont="1" applyFill="1" applyBorder="1" applyAlignment="1" applyProtection="1">
      <alignment vertical="center"/>
    </xf>
    <xf numFmtId="185" fontId="19" fillId="0" borderId="18" xfId="3428" applyNumberFormat="1" applyFont="1" applyFill="1" applyBorder="1" applyAlignment="1" applyProtection="1">
      <alignment horizontal="center" vertical="center"/>
    </xf>
    <xf numFmtId="0" fontId="19" fillId="2" borderId="1" xfId="3428" applyNumberFormat="1" applyFont="1" applyFill="1" applyBorder="1" applyAlignment="1" applyProtection="1">
      <alignment horizontal="center" vertical="center"/>
    </xf>
    <xf numFmtId="0" fontId="19" fillId="0" borderId="1" xfId="3428" applyNumberFormat="1" applyFont="1" applyFill="1" applyBorder="1" applyAlignment="1" applyProtection="1">
      <alignment horizontal="center" vertical="center"/>
    </xf>
    <xf numFmtId="185" fontId="10" fillId="0" borderId="1" xfId="3428" applyNumberFormat="1" applyFont="1" applyBorder="1" applyAlignment="1">
      <alignment horizontal="center" vertical="center"/>
    </xf>
    <xf numFmtId="0" fontId="23" fillId="2" borderId="0" xfId="0" applyNumberFormat="1" applyFont="1" applyFill="1" applyBorder="1" applyAlignment="1" applyProtection="1">
      <alignment horizontal="center" vertical="center"/>
    </xf>
    <xf numFmtId="0" fontId="19" fillId="2" borderId="13" xfId="0" applyNumberFormat="1" applyFont="1" applyFill="1" applyBorder="1" applyAlignment="1" applyProtection="1">
      <alignment horizontal="right" vertical="center"/>
    </xf>
    <xf numFmtId="0" fontId="24" fillId="2" borderId="5" xfId="0" applyNumberFormat="1" applyFont="1" applyFill="1" applyBorder="1" applyAlignment="1" applyProtection="1">
      <alignment horizontal="center" vertical="center"/>
    </xf>
    <xf numFmtId="185" fontId="3" fillId="0" borderId="5" xfId="0" applyNumberFormat="1" applyFont="1" applyFill="1" applyBorder="1" applyAlignment="1" applyProtection="1">
      <alignment horizontal="center" vertical="center"/>
    </xf>
    <xf numFmtId="185" fontId="19" fillId="0" borderId="5" xfId="0" applyNumberFormat="1" applyFont="1" applyFill="1" applyBorder="1" applyAlignment="1" applyProtection="1">
      <alignment horizontal="center" vertical="center"/>
    </xf>
    <xf numFmtId="185" fontId="3" fillId="0" borderId="19" xfId="0" applyNumberFormat="1" applyFont="1" applyFill="1" applyBorder="1" applyAlignment="1" applyProtection="1">
      <alignment horizontal="center" vertical="center"/>
    </xf>
    <xf numFmtId="185" fontId="3" fillId="0" borderId="17" xfId="0" applyNumberFormat="1" applyFont="1" applyFill="1" applyBorder="1" applyAlignment="1" applyProtection="1">
      <alignment horizontal="center" vertical="center"/>
    </xf>
    <xf numFmtId="185" fontId="3" fillId="0" borderId="20" xfId="0" applyNumberFormat="1" applyFont="1" applyFill="1" applyBorder="1" applyAlignment="1" applyProtection="1">
      <alignment horizontal="center" vertical="center"/>
    </xf>
    <xf numFmtId="185" fontId="3" fillId="0" borderId="1" xfId="0" applyNumberFormat="1" applyFont="1" applyFill="1" applyBorder="1" applyAlignment="1" applyProtection="1">
      <alignment horizontal="center" vertical="center"/>
    </xf>
    <xf numFmtId="185" fontId="0" fillId="0" borderId="1" xfId="0" applyNumberFormat="1" applyFont="1" applyBorder="1" applyAlignment="1">
      <alignment horizontal="center"/>
    </xf>
    <xf numFmtId="185" fontId="0" fillId="0" borderId="1" xfId="0" applyNumberFormat="1" applyFont="1" applyFill="1" applyBorder="1" applyAlignment="1">
      <alignment horizontal="center"/>
    </xf>
    <xf numFmtId="185" fontId="19" fillId="0" borderId="19" xfId="0" applyNumberFormat="1" applyFont="1" applyFill="1" applyBorder="1" applyAlignment="1" applyProtection="1">
      <alignment horizontal="center" vertical="center"/>
    </xf>
    <xf numFmtId="0" fontId="19" fillId="0" borderId="19" xfId="0" applyNumberFormat="1" applyFont="1" applyFill="1" applyBorder="1" applyAlignment="1" applyProtection="1">
      <alignment horizontal="center" vertical="center"/>
    </xf>
    <xf numFmtId="185" fontId="0" fillId="2" borderId="5" xfId="0" applyNumberFormat="1" applyFont="1" applyFill="1" applyBorder="1" applyAlignment="1" applyProtection="1">
      <alignment horizontal="center" vertical="center"/>
    </xf>
    <xf numFmtId="185" fontId="19" fillId="2" borderId="5" xfId="0" applyNumberFormat="1" applyFont="1" applyFill="1" applyBorder="1" applyAlignment="1" applyProtection="1">
      <alignment horizontal="center" vertical="center"/>
    </xf>
    <xf numFmtId="185" fontId="15" fillId="0" borderId="0" xfId="0" applyNumberFormat="1" applyFont="1" applyAlignment="1"/>
    <xf numFmtId="0" fontId="15" fillId="2" borderId="0" xfId="0" applyNumberFormat="1" applyFont="1" applyFill="1" applyBorder="1" applyAlignment="1" applyProtection="1"/>
    <xf numFmtId="0" fontId="25" fillId="2" borderId="0" xfId="0" applyNumberFormat="1" applyFont="1" applyFill="1" applyBorder="1" applyAlignment="1" applyProtection="1">
      <alignment vertical="center"/>
    </xf>
    <xf numFmtId="0" fontId="25" fillId="2" borderId="4" xfId="0" applyNumberFormat="1" applyFont="1" applyFill="1" applyBorder="1" applyAlignment="1" applyProtection="1">
      <alignment vertical="center"/>
    </xf>
    <xf numFmtId="0" fontId="21" fillId="2" borderId="5"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19" fillId="2" borderId="5" xfId="0" applyNumberFormat="1" applyFont="1" applyFill="1" applyBorder="1" applyAlignment="1" applyProtection="1">
      <alignment horizontal="left" vertical="center"/>
    </xf>
    <xf numFmtId="186" fontId="19" fillId="2" borderId="5" xfId="0" applyNumberFormat="1" applyFont="1" applyFill="1" applyBorder="1" applyAlignment="1" applyProtection="1">
      <alignment horizontal="center" vertical="center" wrapText="1"/>
    </xf>
    <xf numFmtId="186" fontId="19" fillId="0" borderId="5" xfId="626" applyNumberFormat="1" applyFont="1" applyFill="1" applyBorder="1" applyAlignment="1" applyProtection="1">
      <alignment horizontal="center" vertical="center"/>
    </xf>
    <xf numFmtId="0" fontId="19" fillId="2" borderId="11" xfId="0" applyNumberFormat="1" applyFont="1" applyFill="1" applyBorder="1" applyAlignment="1" applyProtection="1">
      <alignment vertical="center"/>
    </xf>
    <xf numFmtId="0" fontId="19" fillId="2" borderId="11" xfId="0" applyNumberFormat="1" applyFont="1" applyFill="1" applyBorder="1" applyAlignment="1" applyProtection="1">
      <alignment horizontal="left" vertical="center"/>
    </xf>
    <xf numFmtId="0" fontId="15" fillId="0" borderId="0" xfId="0" applyNumberFormat="1" applyFont="1" applyFill="1" applyBorder="1" applyAlignment="1" applyProtection="1"/>
    <xf numFmtId="0" fontId="16" fillId="0" borderId="0" xfId="0" applyNumberFormat="1" applyFont="1" applyFill="1" applyBorder="1" applyAlignment="1" applyProtection="1">
      <alignment vertical="center"/>
    </xf>
    <xf numFmtId="186" fontId="19" fillId="2" borderId="6" xfId="0" applyNumberFormat="1" applyFont="1" applyFill="1" applyBorder="1" applyAlignment="1" applyProtection="1">
      <alignment horizontal="center" vertical="center" wrapText="1"/>
    </xf>
    <xf numFmtId="186" fontId="19" fillId="2" borderId="5" xfId="626" applyNumberFormat="1" applyFont="1" applyFill="1" applyBorder="1" applyAlignment="1" applyProtection="1">
      <alignment horizontal="center" vertical="center" wrapText="1"/>
    </xf>
    <xf numFmtId="0" fontId="0" fillId="0" borderId="0" xfId="0" applyAlignment="1">
      <alignment vertical="center"/>
    </xf>
    <xf numFmtId="0" fontId="15" fillId="0" borderId="0" xfId="0" applyFont="1" applyAlignment="1">
      <alignment vertical="center"/>
    </xf>
    <xf numFmtId="0" fontId="10" fillId="0" borderId="0" xfId="0" applyFont="1" applyAlignment="1">
      <alignment vertical="center"/>
    </xf>
    <xf numFmtId="0" fontId="15" fillId="0" borderId="1" xfId="0" applyFont="1" applyBorder="1" applyAlignment="1">
      <alignment horizontal="center" vertical="center"/>
    </xf>
    <xf numFmtId="0" fontId="15" fillId="0" borderId="21" xfId="0" applyFont="1" applyBorder="1" applyAlignment="1">
      <alignment horizontal="center" vertical="center"/>
    </xf>
    <xf numFmtId="0" fontId="15" fillId="0" borderId="1" xfId="0" applyFont="1" applyBorder="1" applyAlignment="1">
      <alignment vertical="center"/>
    </xf>
    <xf numFmtId="0" fontId="2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16" fillId="0" borderId="1" xfId="0" applyNumberFormat="1" applyFont="1" applyBorder="1" applyAlignment="1">
      <alignment horizontal="left" vertical="center" wrapText="1" indent="2"/>
    </xf>
    <xf numFmtId="0" fontId="16" fillId="0" borderId="1" xfId="0" applyNumberFormat="1" applyFont="1" applyBorder="1" applyAlignment="1">
      <alignment horizontal="left" vertical="center" wrapText="1" indent="3"/>
    </xf>
    <xf numFmtId="0" fontId="0" fillId="0" borderId="1" xfId="0" applyFont="1" applyBorder="1" applyAlignment="1">
      <alignment horizontal="center" vertical="center"/>
    </xf>
    <xf numFmtId="0" fontId="15" fillId="0" borderId="1" xfId="0" applyNumberFormat="1" applyFont="1" applyBorder="1" applyAlignment="1">
      <alignment horizontal="left" vertical="center" indent="3"/>
    </xf>
    <xf numFmtId="0" fontId="0" fillId="0" borderId="1" xfId="0" applyFont="1" applyBorder="1" applyAlignment="1">
      <alignment vertical="center"/>
    </xf>
    <xf numFmtId="0" fontId="10" fillId="0" borderId="1" xfId="0" applyFont="1" applyBorder="1" applyAlignment="1">
      <alignment vertical="center"/>
    </xf>
    <xf numFmtId="0" fontId="14" fillId="0" borderId="1" xfId="0" applyFont="1" applyBorder="1" applyAlignment="1">
      <alignment horizontal="center" vertical="center"/>
    </xf>
    <xf numFmtId="0" fontId="11" fillId="0" borderId="0" xfId="0" applyFont="1" applyBorder="1" applyAlignment="1">
      <alignment horizontal="center" vertical="center"/>
    </xf>
    <xf numFmtId="0" fontId="15" fillId="0" borderId="0" xfId="0" applyFont="1" applyAlignment="1">
      <alignment horizontal="center" vertical="center"/>
    </xf>
    <xf numFmtId="186" fontId="12" fillId="0" borderId="1" xfId="0" applyNumberFormat="1" applyFont="1" applyBorder="1" applyAlignment="1">
      <alignment horizontal="center" vertical="center"/>
    </xf>
    <xf numFmtId="0" fontId="15" fillId="0" borderId="1" xfId="0" applyFont="1" applyBorder="1" applyAlignment="1">
      <alignment horizontal="left" vertical="center"/>
    </xf>
    <xf numFmtId="0" fontId="16" fillId="0" borderId="1" xfId="0" applyNumberFormat="1" applyFont="1" applyBorder="1" applyAlignment="1">
      <alignment horizontal="left" vertical="center" wrapText="1" indent="4"/>
    </xf>
    <xf numFmtId="0" fontId="16" fillId="0" borderId="1" xfId="0" applyNumberFormat="1" applyFont="1" applyBorder="1" applyAlignment="1">
      <alignment horizontal="left" vertical="top" wrapText="1" indent="4"/>
    </xf>
    <xf numFmtId="0" fontId="15" fillId="0" borderId="1" xfId="0" applyNumberFormat="1" applyFont="1" applyBorder="1" applyAlignment="1">
      <alignment horizontal="left" vertical="center" indent="4"/>
    </xf>
    <xf numFmtId="0" fontId="27" fillId="0" borderId="1" xfId="0" applyFont="1" applyBorder="1" applyAlignment="1">
      <alignment horizontal="center" vertical="center"/>
    </xf>
    <xf numFmtId="0" fontId="0" fillId="0" borderId="0" xfId="0" applyAlignment="1">
      <alignment wrapText="1"/>
    </xf>
    <xf numFmtId="0" fontId="0" fillId="0" borderId="0" xfId="0" applyBorder="1" applyAlignment="1"/>
    <xf numFmtId="0" fontId="0" fillId="0" borderId="0" xfId="0" applyFont="1" applyAlignment="1">
      <alignment horizontal="right" vertical="center"/>
    </xf>
    <xf numFmtId="0" fontId="10" fillId="0" borderId="1" xfId="0" applyFont="1" applyBorder="1" applyAlignment="1">
      <alignment horizontal="center" vertical="center" wrapText="1"/>
    </xf>
    <xf numFmtId="0" fontId="12" fillId="0" borderId="1" xfId="0" applyFont="1" applyBorder="1" applyAlignment="1">
      <alignment vertical="center"/>
    </xf>
    <xf numFmtId="0" fontId="12" fillId="0" borderId="1" xfId="0" applyFont="1" applyBorder="1" applyAlignment="1">
      <alignment vertical="center" shrinkToFit="1"/>
    </xf>
    <xf numFmtId="186" fontId="12" fillId="0" borderId="0" xfId="0" applyNumberFormat="1" applyFont="1" applyAlignment="1">
      <alignment horizontal="center" vertical="center"/>
    </xf>
    <xf numFmtId="0" fontId="10" fillId="0" borderId="2" xfId="0" applyFont="1" applyBorder="1" applyAlignment="1">
      <alignment horizontal="center" vertical="center"/>
    </xf>
    <xf numFmtId="186" fontId="12" fillId="0" borderId="2" xfId="0" applyNumberFormat="1" applyFont="1" applyBorder="1" applyAlignment="1">
      <alignment horizontal="center" vertical="center"/>
    </xf>
    <xf numFmtId="0" fontId="15" fillId="0" borderId="0" xfId="0" applyFont="1" applyBorder="1" applyAlignment="1">
      <alignment vertical="center"/>
    </xf>
    <xf numFmtId="0" fontId="28" fillId="0" borderId="0" xfId="0" applyFont="1" applyAlignment="1"/>
    <xf numFmtId="0" fontId="6" fillId="0" borderId="0" xfId="0" applyFont="1" applyAlignment="1"/>
    <xf numFmtId="0" fontId="12" fillId="0" borderId="0" xfId="4809" applyFont="1" applyAlignment="1"/>
    <xf numFmtId="0" fontId="12" fillId="0" borderId="0" xfId="4809" applyFont="1" applyAlignment="1">
      <alignment horizontal="center"/>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87" fontId="6" fillId="0" borderId="1" xfId="0" applyNumberFormat="1" applyFont="1" applyBorder="1" applyAlignment="1">
      <alignment horizontal="center" vertical="center"/>
    </xf>
    <xf numFmtId="0" fontId="29" fillId="0" borderId="11" xfId="0" applyFont="1" applyBorder="1" applyAlignment="1">
      <alignment horizontal="center" vertical="center"/>
    </xf>
    <xf numFmtId="187" fontId="6" fillId="0" borderId="2" xfId="0" applyNumberFormat="1" applyFont="1" applyBorder="1" applyAlignment="1">
      <alignment horizontal="center" vertical="center"/>
    </xf>
    <xf numFmtId="0" fontId="15" fillId="0" borderId="2" xfId="2865" applyFont="1" applyBorder="1" applyAlignment="1">
      <alignment horizontal="left" vertical="center"/>
    </xf>
    <xf numFmtId="0" fontId="29" fillId="0" borderId="12" xfId="0" applyFont="1" applyBorder="1" applyAlignment="1">
      <alignment horizontal="center" vertical="center"/>
    </xf>
    <xf numFmtId="0" fontId="12" fillId="0" borderId="22" xfId="0" applyFont="1" applyBorder="1" applyAlignment="1">
      <alignment horizontal="center" vertical="center"/>
    </xf>
    <xf numFmtId="0" fontId="29" fillId="0" borderId="1" xfId="0" applyFont="1" applyBorder="1" applyAlignment="1">
      <alignment horizontal="center" vertical="center"/>
    </xf>
    <xf numFmtId="3" fontId="14" fillId="0" borderId="21" xfId="2865" applyNumberFormat="1" applyFont="1" applyFill="1" applyBorder="1" applyAlignment="1" applyProtection="1">
      <alignment horizontal="left" vertical="center"/>
    </xf>
    <xf numFmtId="187" fontId="6" fillId="0" borderId="21" xfId="0" applyNumberFormat="1" applyFont="1" applyBorder="1" applyAlignment="1">
      <alignment horizontal="center" vertical="center"/>
    </xf>
    <xf numFmtId="0" fontId="8" fillId="0" borderId="2" xfId="0" applyFont="1" applyBorder="1" applyAlignment="1">
      <alignment horizontal="center" vertical="center"/>
    </xf>
    <xf numFmtId="0" fontId="5" fillId="0" borderId="1" xfId="0" applyFont="1" applyBorder="1" applyAlignment="1">
      <alignment horizontal="center"/>
    </xf>
    <xf numFmtId="0" fontId="13" fillId="0" borderId="0" xfId="4809" applyFont="1" applyAlignment="1">
      <alignment horizontal="centerContinuous" vertical="center"/>
    </xf>
    <xf numFmtId="0" fontId="30" fillId="0" borderId="0" xfId="4809" applyFont="1" applyAlignment="1">
      <alignment horizontal="centerContinuous"/>
    </xf>
    <xf numFmtId="0" fontId="31" fillId="0" borderId="0" xfId="0" applyFont="1" applyAlignment="1"/>
    <xf numFmtId="0" fontId="12" fillId="0" borderId="0" xfId="4809" applyFont="1" applyAlignment="1">
      <alignment horizontal="right"/>
    </xf>
    <xf numFmtId="0" fontId="12" fillId="0" borderId="1" xfId="4802" applyFont="1" applyBorder="1" applyAlignment="1">
      <alignment horizontal="center" vertical="center"/>
    </xf>
    <xf numFmtId="0" fontId="12" fillId="0" borderId="1" xfId="4802" applyFont="1" applyBorder="1" applyAlignment="1">
      <alignment horizontal="center" vertical="center" wrapText="1"/>
    </xf>
    <xf numFmtId="0" fontId="12" fillId="0" borderId="2" xfId="4802" applyFont="1" applyBorder="1" applyAlignment="1">
      <alignment horizontal="center" vertical="center"/>
    </xf>
    <xf numFmtId="3" fontId="10" fillId="0" borderId="1" xfId="3241" applyNumberFormat="1" applyFont="1" applyFill="1" applyBorder="1" applyAlignment="1" applyProtection="1">
      <alignment vertical="center"/>
    </xf>
    <xf numFmtId="0" fontId="12" fillId="0" borderId="3" xfId="2865" applyFont="1" applyFill="1" applyBorder="1" applyAlignment="1">
      <alignment horizontal="center" vertical="center"/>
    </xf>
    <xf numFmtId="0" fontId="12" fillId="0" borderId="1" xfId="2865" applyFont="1" applyFill="1" applyBorder="1" applyAlignment="1">
      <alignment horizontal="center" vertical="center"/>
    </xf>
    <xf numFmtId="187" fontId="12" fillId="0" borderId="23" xfId="4802" applyNumberFormat="1" applyFont="1" applyFill="1" applyBorder="1" applyAlignment="1">
      <alignment horizontal="center" vertical="center"/>
    </xf>
    <xf numFmtId="0" fontId="10" fillId="0" borderId="1" xfId="3241" applyFont="1" applyBorder="1" applyAlignment="1">
      <alignment vertical="center"/>
    </xf>
    <xf numFmtId="3" fontId="19" fillId="0" borderId="1" xfId="3241" applyNumberFormat="1" applyFont="1" applyFill="1" applyBorder="1" applyAlignment="1" applyProtection="1">
      <alignment vertical="center"/>
    </xf>
    <xf numFmtId="0" fontId="8" fillId="0" borderId="2" xfId="0" applyFont="1" applyBorder="1" applyAlignment="1">
      <alignment horizontal="center"/>
    </xf>
    <xf numFmtId="0" fontId="5" fillId="0" borderId="2" xfId="0" applyFont="1" applyBorder="1" applyAlignment="1">
      <alignment horizontal="center"/>
    </xf>
    <xf numFmtId="0" fontId="12" fillId="0" borderId="2" xfId="2865" applyFont="1" applyFill="1" applyBorder="1" applyAlignment="1">
      <alignment horizontal="center" vertical="center"/>
    </xf>
    <xf numFmtId="0" fontId="8" fillId="0" borderId="1" xfId="0" applyFont="1" applyBorder="1" applyAlignment="1">
      <alignment horizontal="center"/>
    </xf>
    <xf numFmtId="41" fontId="6" fillId="0" borderId="0" xfId="4991" applyFont="1" applyAlignment="1"/>
    <xf numFmtId="0" fontId="6" fillId="0" borderId="0" xfId="0" applyFont="1" applyAlignment="1">
      <alignment vertical="center"/>
    </xf>
    <xf numFmtId="0" fontId="12" fillId="0" borderId="0" xfId="4809" applyFont="1" applyAlignment="1">
      <alignment horizontal="center" vertical="center"/>
    </xf>
    <xf numFmtId="0" fontId="12" fillId="2" borderId="1" xfId="2865" applyFont="1" applyFill="1" applyBorder="1" applyAlignment="1">
      <alignment horizontal="center" vertical="center"/>
    </xf>
    <xf numFmtId="187" fontId="12" fillId="2" borderId="1" xfId="0" applyNumberFormat="1" applyFont="1" applyFill="1" applyBorder="1" applyAlignment="1">
      <alignment horizontal="center" vertical="center"/>
    </xf>
    <xf numFmtId="3" fontId="15" fillId="0" borderId="1" xfId="2865" applyNumberFormat="1" applyFont="1" applyFill="1" applyBorder="1" applyAlignment="1" applyProtection="1">
      <alignment horizontal="left" vertical="center"/>
    </xf>
    <xf numFmtId="0" fontId="26" fillId="0" borderId="1" xfId="4802" applyFont="1" applyFill="1" applyBorder="1" applyAlignment="1">
      <alignment horizontal="left" vertical="center"/>
    </xf>
    <xf numFmtId="187" fontId="12" fillId="0" borderId="1" xfId="0" applyNumberFormat="1" applyFont="1" applyBorder="1" applyAlignment="1">
      <alignment horizontal="center" vertical="center"/>
    </xf>
    <xf numFmtId="0" fontId="11" fillId="0" borderId="1" xfId="4807" applyFont="1" applyFill="1" applyBorder="1" applyAlignment="1">
      <alignment horizontal="center" vertical="center"/>
    </xf>
    <xf numFmtId="0" fontId="6" fillId="0" borderId="0" xfId="4809" applyFont="1" applyAlignment="1"/>
    <xf numFmtId="0" fontId="0" fillId="0" borderId="0" xfId="1117" applyFont="1" applyFill="1" applyAlignment="1"/>
    <xf numFmtId="0" fontId="32" fillId="0" borderId="0" xfId="616" applyFont="1" applyFill="1">
      <alignment vertical="center"/>
    </xf>
    <xf numFmtId="0" fontId="32" fillId="0" borderId="0" xfId="616" applyFont="1" applyFill="1" applyAlignment="1">
      <alignment horizontal="right" vertical="center"/>
    </xf>
    <xf numFmtId="0" fontId="32" fillId="0" borderId="1" xfId="616" applyFont="1" applyFill="1" applyBorder="1" applyAlignment="1">
      <alignment horizontal="center" vertical="center"/>
    </xf>
    <xf numFmtId="187" fontId="19" fillId="0" borderId="1" xfId="616" applyNumberFormat="1" applyFont="1" applyFill="1" applyBorder="1" applyAlignment="1">
      <alignment horizontal="center" vertical="center"/>
    </xf>
    <xf numFmtId="0" fontId="21" fillId="0" borderId="1" xfId="616" applyFont="1" applyFill="1" applyBorder="1" applyAlignment="1">
      <alignment horizontal="left" vertical="center"/>
    </xf>
    <xf numFmtId="186" fontId="32" fillId="0" borderId="1" xfId="616" applyNumberFormat="1" applyFont="1" applyFill="1" applyBorder="1" applyAlignment="1">
      <alignment horizontal="center" vertical="center"/>
    </xf>
    <xf numFmtId="0" fontId="19" fillId="0" borderId="1" xfId="616" applyFont="1" applyFill="1" applyBorder="1" applyAlignment="1">
      <alignment horizontal="left" vertical="center"/>
    </xf>
    <xf numFmtId="186" fontId="32" fillId="0" borderId="24" xfId="616" applyNumberFormat="1" applyFont="1" applyFill="1" applyBorder="1" applyAlignment="1">
      <alignment horizontal="center" vertical="center" wrapText="1" shrinkToFit="1"/>
    </xf>
    <xf numFmtId="186" fontId="32" fillId="0" borderId="25" xfId="616" applyNumberFormat="1" applyFont="1" applyFill="1" applyBorder="1" applyAlignment="1">
      <alignment horizontal="center" vertical="center" wrapText="1" shrinkToFit="1"/>
    </xf>
    <xf numFmtId="0" fontId="33" fillId="0" borderId="1" xfId="616" applyFont="1" applyFill="1" applyBorder="1" applyAlignment="1">
      <alignment horizontal="left" vertical="center" wrapText="1" shrinkToFit="1"/>
    </xf>
    <xf numFmtId="186" fontId="32" fillId="0" borderId="1" xfId="616" applyNumberFormat="1" applyFont="1" applyFill="1" applyBorder="1" applyAlignment="1">
      <alignment horizontal="center" vertical="center" wrapText="1" shrinkToFit="1"/>
    </xf>
    <xf numFmtId="0" fontId="19" fillId="0" borderId="1" xfId="616" applyFont="1" applyFill="1" applyBorder="1" applyAlignment="1">
      <alignment horizontal="left" vertical="center" wrapText="1" shrinkToFit="1"/>
    </xf>
    <xf numFmtId="0" fontId="21" fillId="0" borderId="1" xfId="616" applyFont="1" applyFill="1" applyBorder="1" applyAlignment="1">
      <alignment horizontal="left" vertical="center" wrapText="1" shrinkToFit="1"/>
    </xf>
    <xf numFmtId="186" fontId="32" fillId="0" borderId="25" xfId="616" applyNumberFormat="1" applyFont="1" applyFill="1" applyBorder="1" applyAlignment="1">
      <alignment horizontal="center" vertical="center"/>
    </xf>
    <xf numFmtId="0" fontId="33" fillId="0" borderId="1" xfId="616" applyFont="1" applyFill="1" applyBorder="1" applyAlignment="1">
      <alignment horizontal="center" vertical="center"/>
    </xf>
    <xf numFmtId="0" fontId="0" fillId="0" borderId="0" xfId="0" applyFill="1" applyAlignment="1"/>
    <xf numFmtId="0" fontId="86" fillId="0" borderId="0" xfId="1654" applyFill="1" applyAlignment="1"/>
    <xf numFmtId="185" fontId="86" fillId="0" borderId="0" xfId="1654" applyNumberFormat="1" applyFill="1" applyAlignment="1"/>
    <xf numFmtId="0" fontId="86" fillId="0" borderId="0" xfId="1099" applyFill="1" applyAlignment="1"/>
    <xf numFmtId="0" fontId="86" fillId="0" borderId="0" xfId="1099" applyFill="1" applyAlignment="1">
      <alignment horizontal="right" vertical="center"/>
    </xf>
    <xf numFmtId="0" fontId="34" fillId="0" borderId="2" xfId="4794" applyFont="1" applyFill="1" applyBorder="1" applyAlignment="1">
      <alignment horizontal="center" vertical="center" wrapText="1"/>
    </xf>
    <xf numFmtId="0" fontId="34" fillId="0" borderId="2" xfId="1099" applyNumberFormat="1" applyFont="1" applyFill="1" applyBorder="1" applyAlignment="1">
      <alignment horizontal="center" vertical="center" wrapText="1"/>
    </xf>
    <xf numFmtId="0" fontId="15" fillId="0" borderId="23" xfId="0" applyNumberFormat="1" applyFont="1" applyFill="1" applyBorder="1" applyAlignment="1" applyProtection="1">
      <alignment horizontal="left" vertical="center"/>
    </xf>
    <xf numFmtId="0" fontId="14" fillId="0" borderId="22" xfId="0" applyNumberFormat="1" applyFont="1" applyFill="1" applyBorder="1" applyAlignment="1" applyProtection="1">
      <alignment horizontal="left" vertical="center"/>
    </xf>
    <xf numFmtId="3" fontId="15" fillId="0" borderId="22" xfId="0" applyNumberFormat="1" applyFont="1" applyFill="1" applyBorder="1" applyAlignment="1" applyProtection="1">
      <alignment horizontal="right" vertical="center"/>
    </xf>
    <xf numFmtId="3" fontId="15" fillId="0" borderId="1" xfId="0" applyNumberFormat="1" applyFont="1" applyFill="1" applyBorder="1" applyAlignment="1" applyProtection="1">
      <alignment horizontal="right" vertical="center"/>
    </xf>
    <xf numFmtId="0" fontId="15" fillId="0" borderId="22" xfId="0" applyNumberFormat="1" applyFont="1" applyFill="1" applyBorder="1" applyAlignment="1" applyProtection="1">
      <alignment horizontal="left" vertical="center"/>
    </xf>
    <xf numFmtId="0" fontId="15" fillId="0" borderId="1"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left" vertical="center"/>
    </xf>
    <xf numFmtId="3" fontId="15" fillId="0" borderId="2" xfId="0" applyNumberFormat="1" applyFont="1" applyFill="1" applyBorder="1" applyAlignment="1" applyProtection="1">
      <alignment horizontal="right" vertical="center"/>
    </xf>
    <xf numFmtId="0" fontId="35" fillId="0" borderId="1" xfId="3432" applyFont="1" applyFill="1" applyBorder="1" applyAlignment="1">
      <alignment horizontal="center" vertical="center"/>
    </xf>
    <xf numFmtId="0" fontId="14" fillId="0" borderId="22" xfId="0" applyNumberFormat="1" applyFont="1" applyFill="1" applyBorder="1" applyAlignment="1" applyProtection="1">
      <alignment horizontal="left" vertical="center" indent="1"/>
    </xf>
    <xf numFmtId="0" fontId="26" fillId="0" borderId="0" xfId="0" applyFont="1" applyAlignment="1">
      <alignment vertical="center"/>
    </xf>
    <xf numFmtId="178" fontId="26" fillId="0" borderId="0" xfId="0" applyNumberFormat="1" applyFont="1" applyAlignment="1">
      <alignment vertical="center"/>
    </xf>
    <xf numFmtId="178" fontId="12" fillId="0" borderId="0" xfId="0" applyNumberFormat="1" applyFont="1" applyAlignment="1">
      <alignment horizontal="right" vertical="center"/>
    </xf>
    <xf numFmtId="0" fontId="18" fillId="0" borderId="21" xfId="4801" applyFont="1" applyBorder="1" applyAlignment="1">
      <alignment horizontal="center" vertical="center"/>
    </xf>
    <xf numFmtId="0" fontId="18" fillId="0" borderId="26" xfId="4810" applyFont="1" applyBorder="1" applyAlignment="1">
      <alignment horizontal="center" vertical="center" wrapText="1"/>
    </xf>
    <xf numFmtId="0" fontId="18" fillId="0" borderId="2" xfId="4810" applyFont="1" applyBorder="1" applyAlignment="1">
      <alignment horizontal="center" vertical="center" wrapText="1"/>
    </xf>
    <xf numFmtId="1" fontId="10" fillId="0" borderId="1" xfId="4793" applyNumberFormat="1" applyFont="1" applyBorder="1" applyAlignment="1" applyProtection="1">
      <alignment vertical="center" wrapText="1"/>
      <protection locked="0"/>
    </xf>
    <xf numFmtId="186" fontId="12" fillId="0" borderId="1" xfId="4793" applyNumberFormat="1" applyFont="1" applyFill="1" applyBorder="1" applyAlignment="1">
      <alignment horizontal="center" vertical="center" wrapText="1"/>
    </xf>
    <xf numFmtId="0" fontId="10" fillId="0" borderId="1" xfId="4793" applyFont="1" applyBorder="1" applyAlignment="1">
      <alignment vertical="center" wrapText="1"/>
    </xf>
    <xf numFmtId="0" fontId="12" fillId="0" borderId="1" xfId="4793" applyFont="1" applyBorder="1" applyAlignment="1">
      <alignment vertical="center" wrapText="1"/>
    </xf>
    <xf numFmtId="186" fontId="12" fillId="0" borderId="1" xfId="4793" applyNumberFormat="1" applyFont="1" applyBorder="1" applyAlignment="1">
      <alignment horizontal="center" vertical="center" wrapText="1"/>
    </xf>
    <xf numFmtId="0" fontId="26" fillId="0" borderId="3" xfId="0" applyFont="1" applyBorder="1" applyAlignment="1">
      <alignment horizontal="center" vertical="center" wrapText="1"/>
    </xf>
    <xf numFmtId="0" fontId="0" fillId="0" borderId="0" xfId="0" applyFont="1" applyAlignment="1"/>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12" fillId="0" borderId="1" xfId="4793" applyFont="1" applyBorder="1" applyAlignment="1">
      <alignment vertical="center"/>
    </xf>
    <xf numFmtId="3" fontId="10" fillId="0" borderId="1" xfId="0" applyNumberFormat="1" applyFont="1" applyFill="1" applyBorder="1" applyAlignment="1" applyProtection="1">
      <alignment horizontal="left" vertical="center"/>
    </xf>
    <xf numFmtId="186" fontId="12" fillId="0" borderId="1" xfId="4792" applyNumberFormat="1" applyFont="1" applyFill="1" applyBorder="1" applyAlignment="1">
      <alignment horizontal="center" vertical="center" wrapText="1"/>
    </xf>
    <xf numFmtId="0" fontId="26" fillId="0" borderId="1" xfId="0" applyFont="1" applyFill="1" applyBorder="1" applyAlignment="1">
      <alignment horizontal="center" vertical="center"/>
    </xf>
    <xf numFmtId="0" fontId="12" fillId="0" borderId="3" xfId="0" applyFont="1" applyBorder="1" applyAlignment="1">
      <alignment horizontal="center" vertical="center" wrapText="1"/>
    </xf>
    <xf numFmtId="3" fontId="12" fillId="0" borderId="1" xfId="0" applyNumberFormat="1" applyFont="1" applyFill="1" applyBorder="1" applyAlignment="1" applyProtection="1">
      <alignment horizontal="left" vertical="center"/>
    </xf>
    <xf numFmtId="0" fontId="18" fillId="0" borderId="1" xfId="4793" applyFont="1" applyBorder="1" applyAlignment="1">
      <alignment horizontal="center" vertical="center" wrapText="1"/>
    </xf>
    <xf numFmtId="186" fontId="6" fillId="0" borderId="0" xfId="0" applyNumberFormat="1" applyFont="1" applyAlignment="1"/>
    <xf numFmtId="0" fontId="28" fillId="0" borderId="0" xfId="4801" applyFont="1" applyAlignment="1"/>
    <xf numFmtId="0" fontId="12" fillId="0" borderId="0" xfId="4801" applyFont="1" applyAlignment="1"/>
    <xf numFmtId="0" fontId="12" fillId="0" borderId="0" xfId="4801" applyFont="1" applyFill="1" applyAlignment="1"/>
    <xf numFmtId="0" fontId="6" fillId="0" borderId="0" xfId="4801" applyFont="1" applyAlignment="1"/>
    <xf numFmtId="0" fontId="6" fillId="0" borderId="0" xfId="4801" applyFont="1" applyFill="1" applyAlignment="1"/>
    <xf numFmtId="0" fontId="6" fillId="3" borderId="0" xfId="4801" applyFont="1" applyFill="1" applyAlignment="1"/>
    <xf numFmtId="0" fontId="13" fillId="0" borderId="0" xfId="4810" applyFont="1" applyAlignment="1">
      <alignment horizontal="centerContinuous" vertical="center"/>
    </xf>
    <xf numFmtId="0" fontId="30" fillId="0" borderId="0" xfId="4809" applyFont="1" applyFill="1" applyAlignment="1">
      <alignment horizontal="centerContinuous"/>
    </xf>
    <xf numFmtId="0" fontId="28" fillId="3" borderId="0" xfId="4801" applyFont="1" applyFill="1" applyAlignment="1"/>
    <xf numFmtId="0" fontId="12" fillId="0" borderId="0" xfId="4801" applyFont="1" applyFill="1" applyAlignment="1">
      <alignment horizontal="right"/>
    </xf>
    <xf numFmtId="0" fontId="12" fillId="0" borderId="2" xfId="4810" applyFont="1" applyFill="1" applyBorder="1" applyAlignment="1">
      <alignment horizontal="center" vertical="center" wrapText="1"/>
    </xf>
    <xf numFmtId="0" fontId="12" fillId="0" borderId="2" xfId="4810" applyFont="1" applyBorder="1" applyAlignment="1">
      <alignment horizontal="center" vertical="center" wrapText="1"/>
    </xf>
    <xf numFmtId="0" fontId="12" fillId="0" borderId="1" xfId="4802" applyFont="1" applyBorder="1" applyAlignment="1">
      <alignment vertical="center"/>
    </xf>
    <xf numFmtId="0" fontId="12" fillId="0" borderId="1" xfId="0" applyFont="1" applyFill="1" applyBorder="1" applyAlignment="1">
      <alignment horizontal="center" vertical="center"/>
    </xf>
    <xf numFmtId="0" fontId="12" fillId="0" borderId="1" xfId="4801" applyFont="1" applyBorder="1" applyAlignment="1">
      <alignment horizontal="center" vertical="center"/>
    </xf>
    <xf numFmtId="2" fontId="12" fillId="0" borderId="1" xfId="4802" applyNumberFormat="1" applyFont="1" applyFill="1" applyBorder="1" applyAlignment="1">
      <alignment horizontal="center" vertical="center"/>
    </xf>
    <xf numFmtId="0" fontId="12" fillId="3" borderId="0" xfId="4801" applyFont="1" applyFill="1" applyAlignment="1"/>
    <xf numFmtId="0" fontId="12" fillId="0" borderId="1" xfId="4802" applyFont="1" applyFill="1" applyBorder="1" applyAlignment="1">
      <alignment vertical="center"/>
    </xf>
    <xf numFmtId="0" fontId="12" fillId="0" borderId="1" xfId="4801" applyFont="1" applyFill="1" applyBorder="1" applyAlignment="1">
      <alignment horizontal="center" vertical="center"/>
    </xf>
    <xf numFmtId="0" fontId="12" fillId="0" borderId="1" xfId="59" applyFont="1" applyBorder="1" applyAlignment="1">
      <alignment vertical="center"/>
    </xf>
    <xf numFmtId="0" fontId="6" fillId="0" borderId="1" xfId="4801" applyFont="1" applyBorder="1" applyAlignment="1">
      <alignment horizontal="center" vertical="center"/>
    </xf>
    <xf numFmtId="0" fontId="10" fillId="0" borderId="1" xfId="59" applyFont="1" applyBorder="1" applyAlignment="1">
      <alignment vertical="center"/>
    </xf>
    <xf numFmtId="0" fontId="12" fillId="0" borderId="2" xfId="0" applyFont="1" applyFill="1" applyBorder="1" applyAlignment="1">
      <alignment horizontal="center" vertical="center"/>
    </xf>
    <xf numFmtId="0" fontId="18" fillId="0" borderId="1" xfId="59" applyFont="1" applyBorder="1" applyAlignment="1">
      <alignment horizontal="center" vertical="center"/>
    </xf>
    <xf numFmtId="1" fontId="12" fillId="0" borderId="1" xfId="4801" applyNumberFormat="1" applyFont="1" applyBorder="1" applyAlignment="1">
      <alignment horizontal="center" vertical="center"/>
    </xf>
    <xf numFmtId="0" fontId="10" fillId="0" borderId="1" xfId="4793" applyFont="1" applyBorder="1" applyAlignment="1">
      <alignment vertical="center"/>
    </xf>
    <xf numFmtId="1" fontId="12" fillId="0" borderId="1" xfId="4801" applyNumberFormat="1" applyFont="1" applyFill="1" applyBorder="1" applyAlignment="1">
      <alignment horizontal="center" vertical="center"/>
    </xf>
    <xf numFmtId="0" fontId="18" fillId="0" borderId="1" xfId="4803" applyFont="1" applyBorder="1" applyAlignment="1">
      <alignment horizontal="center" vertical="center"/>
    </xf>
    <xf numFmtId="1" fontId="6" fillId="0" borderId="0" xfId="4801" applyNumberFormat="1" applyFont="1" applyFill="1" applyAlignment="1"/>
    <xf numFmtId="0" fontId="6" fillId="0" borderId="0" xfId="4801" applyFont="1" applyAlignment="1">
      <alignment horizontal="center"/>
    </xf>
    <xf numFmtId="0" fontId="10" fillId="0" borderId="2" xfId="4810" applyFont="1" applyFill="1" applyBorder="1" applyAlignment="1">
      <alignment horizontal="center" vertical="center" wrapText="1"/>
    </xf>
    <xf numFmtId="187" fontId="12" fillId="0" borderId="0" xfId="4801" applyNumberFormat="1" applyFont="1" applyAlignment="1"/>
    <xf numFmtId="0" fontId="12" fillId="4" borderId="0" xfId="4801" applyFont="1" applyFill="1" applyAlignment="1"/>
    <xf numFmtId="187" fontId="12" fillId="0" borderId="0" xfId="4801" applyNumberFormat="1" applyFont="1" applyFill="1" applyAlignment="1"/>
    <xf numFmtId="0" fontId="6" fillId="4" borderId="0" xfId="4801" applyFont="1" applyFill="1" applyAlignment="1"/>
    <xf numFmtId="0" fontId="28" fillId="0" borderId="0" xfId="4810" applyFont="1" applyAlignment="1"/>
    <xf numFmtId="0" fontId="6" fillId="0" borderId="0" xfId="4810" applyFont="1" applyAlignment="1"/>
    <xf numFmtId="0" fontId="31" fillId="0" borderId="0" xfId="4810" applyFont="1" applyAlignment="1"/>
    <xf numFmtId="10" fontId="0" fillId="0" borderId="0" xfId="4810" applyNumberFormat="1" applyFont="1" applyAlignment="1">
      <alignment horizontal="left" vertical="center"/>
    </xf>
    <xf numFmtId="0" fontId="32" fillId="2" borderId="5" xfId="0" applyNumberFormat="1" applyFont="1" applyFill="1" applyBorder="1" applyAlignment="1" applyProtection="1">
      <alignment horizontal="center" vertical="center"/>
    </xf>
    <xf numFmtId="0" fontId="36" fillId="2" borderId="7" xfId="0" applyNumberFormat="1" applyFont="1" applyFill="1" applyBorder="1" applyAlignment="1" applyProtection="1">
      <alignment horizontal="center" vertical="center"/>
    </xf>
    <xf numFmtId="0" fontId="32" fillId="2" borderId="7" xfId="0" applyNumberFormat="1" applyFont="1" applyFill="1" applyBorder="1" applyAlignment="1" applyProtection="1">
      <alignment horizontal="center" vertical="center"/>
    </xf>
    <xf numFmtId="10" fontId="32" fillId="2" borderId="7" xfId="0" applyNumberFormat="1" applyFont="1" applyFill="1" applyBorder="1" applyAlignment="1" applyProtection="1">
      <alignment horizontal="center" vertical="center"/>
    </xf>
    <xf numFmtId="0" fontId="0" fillId="0" borderId="2" xfId="4810" applyFont="1" applyBorder="1" applyAlignment="1"/>
    <xf numFmtId="0" fontId="0" fillId="2" borderId="2" xfId="0" applyNumberFormat="1" applyFont="1" applyFill="1" applyBorder="1" applyAlignment="1" applyProtection="1">
      <alignment horizontal="center" vertical="center"/>
    </xf>
    <xf numFmtId="0" fontId="12" fillId="0" borderId="1" xfId="4809" applyFont="1" applyBorder="1" applyAlignment="1">
      <alignment vertical="center"/>
    </xf>
    <xf numFmtId="0" fontId="12" fillId="0" borderId="1" xfId="4809" applyFont="1" applyBorder="1" applyAlignment="1">
      <alignment horizontal="center" vertical="center"/>
    </xf>
    <xf numFmtId="0" fontId="6" fillId="0" borderId="1" xfId="4810" applyFont="1" applyBorder="1" applyAlignment="1">
      <alignment horizontal="center" vertical="center"/>
    </xf>
    <xf numFmtId="187" fontId="6" fillId="0" borderId="1" xfId="4810" applyNumberFormat="1" applyFont="1" applyBorder="1" applyAlignment="1">
      <alignment horizontal="center" vertical="center"/>
    </xf>
    <xf numFmtId="0" fontId="6" fillId="0" borderId="1" xfId="4810" applyFont="1" applyBorder="1" applyAlignment="1"/>
    <xf numFmtId="0" fontId="12" fillId="0" borderId="1" xfId="4796" applyFont="1" applyBorder="1" applyAlignment="1">
      <alignment horizontal="center" vertical="center"/>
    </xf>
    <xf numFmtId="0" fontId="10" fillId="0" borderId="1" xfId="4809" applyFont="1" applyBorder="1" applyAlignment="1">
      <alignment vertical="center"/>
    </xf>
    <xf numFmtId="0" fontId="11" fillId="0" borderId="1" xfId="4809" applyFont="1" applyBorder="1" applyAlignment="1">
      <alignment horizontal="center"/>
    </xf>
    <xf numFmtId="0" fontId="6" fillId="0" borderId="1" xfId="4796" applyFont="1" applyBorder="1" applyAlignment="1">
      <alignment horizontal="center" vertical="center"/>
    </xf>
    <xf numFmtId="0" fontId="12" fillId="0" borderId="1" xfId="4809" applyFont="1" applyBorder="1" applyAlignment="1"/>
    <xf numFmtId="186" fontId="6" fillId="0" borderId="1" xfId="4810" applyNumberFormat="1" applyFont="1" applyBorder="1" applyAlignment="1">
      <alignment horizontal="center" vertical="center"/>
    </xf>
    <xf numFmtId="10" fontId="6" fillId="0" borderId="0" xfId="4810" applyNumberFormat="1" applyFont="1" applyAlignment="1"/>
    <xf numFmtId="187" fontId="6" fillId="0" borderId="0" xfId="4810" applyNumberFormat="1" applyFont="1" applyAlignment="1"/>
    <xf numFmtId="0" fontId="0" fillId="0" borderId="1" xfId="0" applyFont="1" applyBorder="1" applyAlignment="1"/>
    <xf numFmtId="0" fontId="6" fillId="0" borderId="1" xfId="0" applyFont="1" applyBorder="1" applyAlignment="1"/>
    <xf numFmtId="0" fontId="10" fillId="0" borderId="1" xfId="1654" applyFont="1" applyBorder="1" applyAlignment="1">
      <alignment horizontal="left" vertical="center"/>
    </xf>
    <xf numFmtId="0" fontId="6" fillId="0" borderId="2" xfId="0" applyFont="1" applyBorder="1" applyAlignment="1"/>
    <xf numFmtId="0" fontId="11" fillId="0" borderId="1" xfId="1654" applyFont="1" applyBorder="1" applyAlignment="1">
      <alignment horizontal="center" vertical="center"/>
    </xf>
    <xf numFmtId="186" fontId="18" fillId="0" borderId="1" xfId="4793" applyNumberFormat="1" applyFont="1" applyBorder="1" applyAlignment="1">
      <alignment horizontal="center" vertical="center" wrapText="1"/>
    </xf>
    <xf numFmtId="186" fontId="6" fillId="0" borderId="1" xfId="0" applyNumberFormat="1" applyFont="1" applyBorder="1" applyAlignment="1"/>
    <xf numFmtId="0" fontId="28" fillId="0" borderId="0" xfId="4800" applyFont="1" applyBorder="1" applyAlignment="1"/>
    <xf numFmtId="0" fontId="12" fillId="0" borderId="0" xfId="4800" applyFont="1" applyBorder="1" applyAlignment="1"/>
    <xf numFmtId="0" fontId="6" fillId="0" borderId="0" xfId="4800" applyFont="1" applyBorder="1" applyAlignment="1"/>
    <xf numFmtId="0" fontId="6" fillId="2" borderId="0" xfId="4800" applyFont="1" applyFill="1" applyBorder="1" applyAlignment="1"/>
    <xf numFmtId="0" fontId="31" fillId="0" borderId="0" xfId="4800" applyFont="1" applyFill="1" applyBorder="1" applyAlignment="1"/>
    <xf numFmtId="0" fontId="28" fillId="0" borderId="0" xfId="4800" applyFont="1" applyFill="1" applyBorder="1" applyAlignment="1"/>
    <xf numFmtId="0" fontId="12" fillId="0" borderId="0" xfId="4800" applyFont="1" applyFill="1" applyBorder="1" applyAlignment="1"/>
    <xf numFmtId="0" fontId="0" fillId="0" borderId="0" xfId="4810" applyFont="1" applyFill="1" applyBorder="1" applyAlignment="1">
      <alignment horizontal="right"/>
    </xf>
    <xf numFmtId="0" fontId="6" fillId="0" borderId="0" xfId="4800" applyFont="1" applyFill="1" applyBorder="1" applyAlignment="1"/>
    <xf numFmtId="0" fontId="12" fillId="0" borderId="1" xfId="4810" applyFont="1" applyFill="1" applyBorder="1" applyAlignment="1">
      <alignment horizontal="center" vertical="center" wrapText="1"/>
    </xf>
    <xf numFmtId="0" fontId="6" fillId="0" borderId="0" xfId="4801" applyFont="1" applyFill="1" applyBorder="1" applyAlignment="1"/>
    <xf numFmtId="0" fontId="12" fillId="0" borderId="1" xfId="4800" applyFont="1" applyFill="1" applyBorder="1" applyAlignment="1">
      <alignment horizontal="center" vertical="center"/>
    </xf>
    <xf numFmtId="187" fontId="6" fillId="0" borderId="1" xfId="4810" applyNumberFormat="1" applyFont="1" applyFill="1" applyBorder="1" applyAlignment="1">
      <alignment horizontal="center" vertical="center"/>
    </xf>
    <xf numFmtId="0" fontId="12" fillId="0" borderId="0" xfId="4800" applyFont="1" applyFill="1" applyBorder="1" applyAlignment="1">
      <alignment horizontal="center" vertical="center"/>
    </xf>
    <xf numFmtId="0" fontId="12" fillId="0" borderId="0" xfId="4801" applyFont="1" applyFill="1" applyBorder="1" applyAlignment="1"/>
    <xf numFmtId="0" fontId="12" fillId="0" borderId="1" xfId="59" applyFont="1" applyFill="1" applyBorder="1" applyAlignment="1">
      <alignment vertical="center"/>
    </xf>
    <xf numFmtId="0" fontId="6" fillId="0" borderId="1" xfId="4800" applyFont="1" applyFill="1" applyBorder="1" applyAlignment="1">
      <alignment horizontal="center" vertical="center"/>
    </xf>
    <xf numFmtId="1" fontId="12" fillId="0" borderId="0" xfId="4800" applyNumberFormat="1" applyFont="1" applyFill="1" applyBorder="1" applyAlignment="1">
      <alignment horizontal="center" vertical="center"/>
    </xf>
    <xf numFmtId="0" fontId="18" fillId="0" borderId="1" xfId="4803" applyFont="1" applyFill="1" applyBorder="1" applyAlignment="1">
      <alignment horizontal="center" vertical="center"/>
    </xf>
    <xf numFmtId="0" fontId="6" fillId="0" borderId="0" xfId="4800" applyFont="1" applyBorder="1" applyAlignment="1">
      <alignment horizontal="center"/>
    </xf>
    <xf numFmtId="0" fontId="0" fillId="0" borderId="1" xfId="4800" applyFont="1" applyBorder="1" applyAlignment="1"/>
    <xf numFmtId="0" fontId="12" fillId="0" borderId="1" xfId="4800" applyFont="1" applyBorder="1" applyAlignment="1"/>
    <xf numFmtId="3" fontId="12" fillId="0" borderId="1" xfId="4800" applyNumberFormat="1" applyFont="1" applyBorder="1" applyAlignment="1"/>
    <xf numFmtId="0" fontId="6" fillId="0" borderId="1" xfId="4800" applyFont="1" applyBorder="1" applyAlignment="1"/>
    <xf numFmtId="3" fontId="6" fillId="0" borderId="1" xfId="4800" applyNumberFormat="1" applyFont="1" applyBorder="1" applyAlignment="1"/>
    <xf numFmtId="3" fontId="6" fillId="0" borderId="0" xfId="4800" applyNumberFormat="1" applyFont="1" applyBorder="1" applyAlignment="1"/>
    <xf numFmtId="0" fontId="0" fillId="0" borderId="0" xfId="4810" applyFont="1" applyAlignment="1">
      <alignment horizontal="right"/>
    </xf>
    <xf numFmtId="0" fontId="6" fillId="0" borderId="1" xfId="4810" applyFont="1" applyBorder="1" applyAlignment="1">
      <alignment horizontal="center" vertical="center" wrapText="1"/>
    </xf>
    <xf numFmtId="0" fontId="10" fillId="0" borderId="1" xfId="4809" applyFont="1" applyBorder="1" applyAlignment="1"/>
    <xf numFmtId="0" fontId="12" fillId="0" borderId="2" xfId="4809" applyFont="1" applyBorder="1" applyAlignment="1"/>
    <xf numFmtId="0" fontId="12" fillId="0" borderId="2" xfId="4809" applyFont="1" applyBorder="1" applyAlignment="1">
      <alignment horizontal="center" vertical="center"/>
    </xf>
    <xf numFmtId="0" fontId="6" fillId="0" borderId="1" xfId="4810" applyFont="1" applyFill="1" applyBorder="1" applyAlignment="1">
      <alignment horizontal="center" vertical="center"/>
    </xf>
    <xf numFmtId="0" fontId="22"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vertical="center"/>
    </xf>
    <xf numFmtId="0" fontId="3" fillId="0" borderId="4" xfId="0" applyNumberFormat="1" applyFont="1" applyFill="1" applyBorder="1" applyAlignment="1" applyProtection="1">
      <alignment vertical="center"/>
    </xf>
    <xf numFmtId="0" fontId="25" fillId="0" borderId="4" xfId="0" applyNumberFormat="1" applyFont="1" applyFill="1" applyBorder="1" applyAlignment="1" applyProtection="1">
      <alignment vertical="center"/>
    </xf>
    <xf numFmtId="0" fontId="19" fillId="0" borderId="4" xfId="0" applyNumberFormat="1" applyFont="1" applyFill="1" applyBorder="1" applyAlignment="1" applyProtection="1">
      <alignment horizontal="right" vertical="center"/>
    </xf>
    <xf numFmtId="0" fontId="21" fillId="0" borderId="5" xfId="0" applyNumberFormat="1" applyFont="1" applyFill="1" applyBorder="1" applyAlignment="1" applyProtection="1">
      <alignment horizontal="center" vertical="center"/>
    </xf>
    <xf numFmtId="0" fontId="21" fillId="0" borderId="5" xfId="0" applyNumberFormat="1" applyFont="1" applyFill="1" applyBorder="1" applyAlignment="1" applyProtection="1">
      <alignment horizontal="center" vertical="center" wrapText="1"/>
    </xf>
    <xf numFmtId="0" fontId="21" fillId="0" borderId="6"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left" vertical="center"/>
    </xf>
    <xf numFmtId="186" fontId="19" fillId="0" borderId="5" xfId="0" applyNumberFormat="1" applyFont="1" applyFill="1" applyBorder="1" applyAlignment="1" applyProtection="1">
      <alignment horizontal="center" vertical="center" wrapText="1"/>
    </xf>
    <xf numFmtId="186" fontId="19" fillId="0" borderId="6" xfId="0" applyNumberFormat="1" applyFont="1" applyFill="1" applyBorder="1" applyAlignment="1" applyProtection="1">
      <alignment horizontal="center" vertical="center" wrapText="1"/>
    </xf>
    <xf numFmtId="186" fontId="19" fillId="0" borderId="6" xfId="813" applyNumberFormat="1" applyFont="1" applyFill="1" applyBorder="1" applyAlignment="1" applyProtection="1">
      <alignment horizontal="center" vertical="center" wrapText="1"/>
    </xf>
    <xf numFmtId="186" fontId="19" fillId="0" borderId="5" xfId="813" applyNumberFormat="1" applyFont="1" applyFill="1" applyBorder="1" applyAlignment="1" applyProtection="1">
      <alignment horizontal="center" vertical="center" wrapText="1"/>
    </xf>
    <xf numFmtId="186" fontId="19" fillId="0" borderId="5" xfId="81" applyNumberFormat="1" applyFont="1" applyFill="1" applyBorder="1" applyAlignment="1" applyProtection="1">
      <alignment horizontal="center" vertical="center" wrapText="1"/>
    </xf>
    <xf numFmtId="186" fontId="19" fillId="0" borderId="5" xfId="1100" applyNumberFormat="1" applyFont="1" applyFill="1" applyBorder="1" applyAlignment="1" applyProtection="1">
      <alignment horizontal="center" vertical="center"/>
    </xf>
    <xf numFmtId="0" fontId="19" fillId="0" borderId="5" xfId="0" applyNumberFormat="1" applyFont="1" applyFill="1" applyBorder="1" applyAlignment="1" applyProtection="1">
      <alignment horizontal="left" vertical="center"/>
    </xf>
    <xf numFmtId="186" fontId="19" fillId="0" borderId="5" xfId="2741" applyNumberFormat="1" applyFont="1" applyFill="1" applyBorder="1" applyAlignment="1" applyProtection="1">
      <alignment horizontal="center" vertical="center"/>
    </xf>
    <xf numFmtId="186" fontId="19" fillId="0" borderId="5" xfId="825" applyNumberFormat="1" applyFont="1" applyFill="1" applyBorder="1" applyAlignment="1" applyProtection="1">
      <alignment horizontal="center" vertical="center"/>
    </xf>
    <xf numFmtId="186" fontId="19" fillId="0" borderId="5" xfId="81" applyNumberFormat="1" applyFont="1" applyFill="1" applyBorder="1" applyAlignment="1" applyProtection="1">
      <alignment horizontal="center" vertical="center"/>
    </xf>
    <xf numFmtId="186" fontId="19" fillId="0" borderId="5" xfId="2732" applyNumberFormat="1" applyFont="1" applyFill="1" applyBorder="1" applyAlignment="1" applyProtection="1">
      <alignment horizontal="center" vertical="center"/>
    </xf>
    <xf numFmtId="186" fontId="19" fillId="0" borderId="5" xfId="1883" applyNumberFormat="1" applyFont="1" applyFill="1" applyBorder="1" applyAlignment="1" applyProtection="1">
      <alignment horizontal="center" vertical="center"/>
    </xf>
    <xf numFmtId="186" fontId="19" fillId="0" borderId="5" xfId="1860" applyNumberFormat="1" applyFont="1" applyFill="1" applyBorder="1" applyAlignment="1" applyProtection="1">
      <alignment horizontal="center" vertical="center"/>
    </xf>
    <xf numFmtId="186" fontId="19" fillId="0" borderId="5" xfId="1875" applyNumberFormat="1" applyFont="1" applyFill="1" applyBorder="1" applyAlignment="1" applyProtection="1">
      <alignment horizontal="center" vertical="center"/>
    </xf>
    <xf numFmtId="0" fontId="19" fillId="0" borderId="11" xfId="0" applyNumberFormat="1" applyFont="1" applyFill="1" applyBorder="1" applyAlignment="1" applyProtection="1">
      <alignment vertical="center"/>
    </xf>
    <xf numFmtId="0" fontId="86" fillId="0" borderId="0" xfId="1888" applyFill="1">
      <alignment vertical="center"/>
    </xf>
    <xf numFmtId="0" fontId="16" fillId="0" borderId="0" xfId="1888" applyFont="1" applyFill="1" applyAlignment="1">
      <alignment vertical="center" wrapText="1"/>
    </xf>
    <xf numFmtId="0" fontId="3" fillId="0" borderId="0" xfId="1888" applyFont="1" applyFill="1" applyAlignment="1">
      <alignment horizontal="right" vertical="center" wrapText="1"/>
    </xf>
    <xf numFmtId="0" fontId="32" fillId="0" borderId="5" xfId="1888" applyFont="1" applyFill="1" applyBorder="1" applyAlignment="1">
      <alignment horizontal="center" vertical="center" wrapText="1"/>
    </xf>
    <xf numFmtId="0" fontId="32" fillId="0" borderId="5" xfId="1888" applyFont="1" applyFill="1" applyBorder="1" applyAlignment="1">
      <alignment vertical="center" wrapText="1"/>
    </xf>
    <xf numFmtId="186" fontId="32" fillId="0" borderId="5" xfId="1888" applyNumberFormat="1" applyFont="1" applyFill="1" applyBorder="1" applyAlignment="1">
      <alignment horizontal="center" vertical="center" wrapText="1"/>
    </xf>
    <xf numFmtId="186" fontId="12" fillId="0" borderId="1" xfId="0" applyNumberFormat="1" applyFont="1" applyFill="1" applyBorder="1" applyAlignment="1">
      <alignment horizontal="center" vertical="center"/>
    </xf>
    <xf numFmtId="0" fontId="32" fillId="0" borderId="5" xfId="1888" applyFont="1" applyFill="1" applyBorder="1" applyAlignment="1">
      <alignment vertical="center" wrapText="1" shrinkToFit="1"/>
    </xf>
    <xf numFmtId="186" fontId="32" fillId="0" borderId="7" xfId="1888" applyNumberFormat="1" applyFont="1" applyFill="1" applyBorder="1" applyAlignment="1">
      <alignment horizontal="center" vertical="center" wrapText="1"/>
    </xf>
    <xf numFmtId="186" fontId="32" fillId="0" borderId="0" xfId="1888" applyNumberFormat="1" applyFont="1" applyFill="1" applyAlignment="1">
      <alignment horizontal="center" vertical="center" wrapText="1"/>
    </xf>
    <xf numFmtId="0" fontId="32" fillId="0" borderId="8" xfId="1888" applyFont="1" applyFill="1" applyBorder="1" applyAlignment="1">
      <alignment horizontal="center" vertical="center" wrapText="1"/>
    </xf>
    <xf numFmtId="186" fontId="32" fillId="0" borderId="1" xfId="1888" applyNumberFormat="1" applyFont="1" applyFill="1" applyBorder="1" applyAlignment="1">
      <alignment horizontal="center" vertical="center" wrapText="1"/>
    </xf>
    <xf numFmtId="186" fontId="32" fillId="0" borderId="11" xfId="1888" applyNumberFormat="1" applyFont="1" applyFill="1" applyBorder="1" applyAlignment="1">
      <alignment horizontal="center" vertical="center" wrapText="1"/>
    </xf>
    <xf numFmtId="0" fontId="33" fillId="0" borderId="5" xfId="1888" applyFont="1" applyFill="1" applyBorder="1" applyAlignment="1">
      <alignment horizontal="center" vertical="center" wrapText="1"/>
    </xf>
    <xf numFmtId="0" fontId="28" fillId="0" borderId="0" xfId="4795" applyFont="1">
      <alignment vertical="center"/>
    </xf>
    <xf numFmtId="0" fontId="37" fillId="0" borderId="0" xfId="4795" applyFont="1">
      <alignment vertical="center"/>
    </xf>
    <xf numFmtId="0" fontId="6" fillId="0" borderId="0" xfId="4795" applyFont="1">
      <alignment vertical="center"/>
    </xf>
    <xf numFmtId="0" fontId="10" fillId="0" borderId="1" xfId="4794" applyFont="1" applyFill="1" applyBorder="1" applyAlignment="1">
      <alignment horizontal="center" vertical="center" wrapText="1"/>
    </xf>
    <xf numFmtId="0" fontId="12" fillId="0" borderId="1" xfId="4794" applyFont="1" applyFill="1" applyBorder="1" applyAlignment="1">
      <alignment horizontal="center" vertical="center" wrapText="1"/>
    </xf>
    <xf numFmtId="187" fontId="12" fillId="0" borderId="1" xfId="4795" applyNumberFormat="1" applyFont="1" applyBorder="1" applyAlignment="1">
      <alignment horizontal="center" vertical="center" wrapText="1"/>
    </xf>
    <xf numFmtId="0" fontId="10" fillId="0" borderId="1" xfId="4795" applyFont="1" applyBorder="1">
      <alignment vertical="center"/>
    </xf>
    <xf numFmtId="0" fontId="12" fillId="0" borderId="1" xfId="4795" applyFont="1" applyBorder="1" applyAlignment="1">
      <alignment horizontal="center" vertical="center"/>
    </xf>
    <xf numFmtId="187" fontId="12" fillId="0" borderId="1" xfId="4795" applyNumberFormat="1" applyFont="1" applyBorder="1" applyAlignment="1">
      <alignment horizontal="center" vertical="center"/>
    </xf>
    <xf numFmtId="0" fontId="18" fillId="0" borderId="1" xfId="4795" applyFont="1" applyBorder="1" applyAlignment="1">
      <alignment horizontal="center" vertical="center"/>
    </xf>
    <xf numFmtId="0" fontId="28" fillId="0" borderId="0" xfId="4800" applyFont="1" applyAlignment="1"/>
    <xf numFmtId="0" fontId="6" fillId="0" borderId="0" xfId="4800" applyFont="1" applyAlignment="1"/>
    <xf numFmtId="0" fontId="6" fillId="0" borderId="0" xfId="4800" applyFont="1" applyFill="1" applyAlignment="1"/>
    <xf numFmtId="0" fontId="17" fillId="0" borderId="13" xfId="4800" applyFont="1" applyBorder="1" applyAlignment="1">
      <alignment horizontal="center" vertical="top"/>
    </xf>
    <xf numFmtId="0" fontId="17" fillId="0" borderId="13" xfId="4800" applyFont="1" applyFill="1" applyBorder="1" applyAlignment="1">
      <alignment horizontal="center" vertical="top"/>
    </xf>
    <xf numFmtId="0" fontId="10" fillId="0" borderId="1" xfId="4810" applyFont="1" applyFill="1" applyBorder="1" applyAlignment="1">
      <alignment horizontal="center" vertical="center" wrapText="1"/>
    </xf>
    <xf numFmtId="0" fontId="26" fillId="0" borderId="1" xfId="4810" applyFont="1" applyBorder="1" applyAlignment="1">
      <alignment horizontal="center" vertical="center" wrapText="1"/>
    </xf>
    <xf numFmtId="49" fontId="12" fillId="0" borderId="2" xfId="4810" applyNumberFormat="1" applyFont="1" applyBorder="1" applyAlignment="1">
      <alignment horizontal="center" vertical="center" wrapText="1"/>
    </xf>
    <xf numFmtId="0" fontId="12" fillId="5" borderId="1" xfId="4810" applyFont="1" applyFill="1" applyBorder="1" applyAlignment="1">
      <alignment horizontal="center" vertical="center" wrapText="1"/>
    </xf>
    <xf numFmtId="49" fontId="12" fillId="0" borderId="1" xfId="4810" applyNumberFormat="1" applyFont="1" applyBorder="1" applyAlignment="1">
      <alignment horizontal="center" vertical="center" wrapText="1"/>
    </xf>
    <xf numFmtId="0" fontId="0" fillId="0" borderId="1" xfId="4809" applyFont="1" applyBorder="1" applyAlignment="1"/>
    <xf numFmtId="0" fontId="12" fillId="0" borderId="1" xfId="4800" applyFont="1" applyBorder="1" applyAlignment="1">
      <alignment horizontal="center" vertical="center"/>
    </xf>
    <xf numFmtId="187" fontId="12" fillId="0" borderId="1" xfId="4809" applyNumberFormat="1" applyFont="1" applyBorder="1" applyAlignment="1">
      <alignment horizontal="center" vertical="center" wrapText="1"/>
    </xf>
    <xf numFmtId="176" fontId="12" fillId="0" borderId="1" xfId="4809" applyNumberFormat="1" applyFont="1" applyBorder="1" applyAlignment="1">
      <alignment horizontal="center" vertical="center" wrapText="1"/>
    </xf>
    <xf numFmtId="3" fontId="10" fillId="0" borderId="2" xfId="3241" applyNumberFormat="1" applyFont="1" applyFill="1" applyBorder="1" applyAlignment="1" applyProtection="1">
      <alignment vertical="center"/>
    </xf>
    <xf numFmtId="0" fontId="12" fillId="0" borderId="2" xfId="4800" applyFont="1" applyBorder="1" applyAlignment="1">
      <alignment horizontal="center" vertical="center"/>
    </xf>
    <xf numFmtId="187" fontId="12" fillId="0" borderId="2" xfId="4809" applyNumberFormat="1" applyFont="1" applyBorder="1" applyAlignment="1">
      <alignment horizontal="center" vertical="center" wrapText="1"/>
    </xf>
    <xf numFmtId="0" fontId="12" fillId="0" borderId="1" xfId="4809" applyFont="1" applyBorder="1" applyAlignment="1">
      <alignment horizontal="center" vertical="center" wrapText="1"/>
    </xf>
    <xf numFmtId="0" fontId="6" fillId="0" borderId="3" xfId="4800" applyFont="1" applyBorder="1" applyAlignment="1"/>
    <xf numFmtId="0" fontId="6" fillId="0" borderId="1" xfId="4809" applyFont="1" applyBorder="1" applyAlignment="1"/>
    <xf numFmtId="0" fontId="6" fillId="0" borderId="2" xfId="4809" applyFont="1" applyBorder="1" applyAlignment="1"/>
    <xf numFmtId="0" fontId="12" fillId="0" borderId="1" xfId="4795" applyFont="1" applyFill="1" applyBorder="1" applyAlignment="1">
      <alignment horizontal="center" vertical="center"/>
    </xf>
    <xf numFmtId="0" fontId="0" fillId="0" borderId="0" xfId="4795" applyFont="1">
      <alignment vertical="center"/>
    </xf>
    <xf numFmtId="0" fontId="0" fillId="0" borderId="1" xfId="4795" applyFont="1" applyBorder="1">
      <alignment vertical="center"/>
    </xf>
    <xf numFmtId="0" fontId="6" fillId="0" borderId="1" xfId="4795" applyFont="1" applyBorder="1">
      <alignment vertical="center"/>
    </xf>
    <xf numFmtId="0" fontId="28" fillId="0" borderId="0" xfId="4809" applyFont="1" applyAlignment="1"/>
    <xf numFmtId="0" fontId="10" fillId="0" borderId="1" xfId="4810" applyFont="1" applyBorder="1" applyAlignment="1">
      <alignment horizontal="center" vertical="center" wrapText="1"/>
    </xf>
    <xf numFmtId="0" fontId="0" fillId="0" borderId="2" xfId="4809" applyFont="1" applyBorder="1" applyAlignment="1"/>
    <xf numFmtId="0" fontId="10" fillId="0" borderId="1" xfId="3241" applyFont="1" applyFill="1" applyBorder="1" applyAlignment="1">
      <alignment horizontal="center" vertical="center"/>
    </xf>
    <xf numFmtId="0" fontId="11" fillId="0" borderId="2" xfId="4807" applyFont="1" applyFill="1" applyBorder="1" applyAlignment="1">
      <alignment horizontal="center" vertical="center"/>
    </xf>
    <xf numFmtId="0" fontId="12" fillId="0" borderId="2" xfId="4809" applyFont="1" applyBorder="1" applyAlignment="1">
      <alignment horizontal="center" vertical="center" wrapText="1"/>
    </xf>
    <xf numFmtId="176" fontId="12" fillId="0" borderId="2" xfId="4809" applyNumberFormat="1" applyFont="1" applyBorder="1" applyAlignment="1">
      <alignment horizontal="center" vertical="center" wrapText="1"/>
    </xf>
    <xf numFmtId="0" fontId="6" fillId="0" borderId="3" xfId="4809" applyFont="1" applyBorder="1" applyAlignment="1"/>
    <xf numFmtId="0" fontId="28" fillId="0" borderId="0" xfId="0" applyFont="1" applyAlignment="1">
      <alignment vertical="center"/>
    </xf>
    <xf numFmtId="0" fontId="6" fillId="0" borderId="0" xfId="0" applyFont="1" applyFill="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Border="1" applyAlignment="1">
      <alignment horizontal="right"/>
    </xf>
    <xf numFmtId="0" fontId="26" fillId="0" borderId="1" xfId="0" applyFont="1" applyFill="1" applyBorder="1" applyAlignment="1">
      <alignment horizontal="center" vertical="center" wrapText="1"/>
    </xf>
    <xf numFmtId="0" fontId="12" fillId="0" borderId="1" xfId="4806" applyFont="1" applyFill="1" applyBorder="1" applyAlignment="1" applyProtection="1">
      <alignment vertical="center"/>
      <protection locked="0"/>
    </xf>
    <xf numFmtId="186" fontId="12" fillId="0" borderId="1" xfId="0" applyNumberFormat="1" applyFont="1" applyFill="1" applyBorder="1" applyAlignment="1" applyProtection="1">
      <alignment horizontal="center" vertical="center"/>
    </xf>
    <xf numFmtId="0" fontId="12" fillId="2" borderId="1" xfId="0" applyFont="1" applyFill="1" applyBorder="1" applyAlignment="1">
      <alignment horizontal="center" vertical="center"/>
    </xf>
    <xf numFmtId="0" fontId="12" fillId="0" borderId="1" xfId="4806" applyFont="1" applyBorder="1" applyAlignment="1" applyProtection="1">
      <alignment vertical="center"/>
      <protection locked="0"/>
    </xf>
    <xf numFmtId="0" fontId="12" fillId="0" borderId="2" xfId="4806" applyFont="1" applyFill="1" applyBorder="1" applyAlignment="1" applyProtection="1">
      <alignment vertical="center"/>
      <protection locked="0"/>
    </xf>
    <xf numFmtId="186" fontId="12" fillId="0" borderId="2" xfId="0" applyNumberFormat="1" applyFont="1" applyFill="1" applyBorder="1" applyAlignment="1" applyProtection="1">
      <alignment horizontal="center" vertical="center"/>
    </xf>
    <xf numFmtId="187" fontId="12" fillId="0" borderId="2" xfId="0" applyNumberFormat="1" applyFont="1" applyBorder="1" applyAlignment="1">
      <alignment horizontal="center" vertical="center"/>
    </xf>
    <xf numFmtId="0" fontId="15" fillId="0" borderId="0" xfId="4809" applyFont="1" applyFill="1" applyBorder="1" applyAlignment="1">
      <alignment wrapText="1"/>
    </xf>
    <xf numFmtId="0" fontId="15" fillId="2" borderId="0" xfId="0" applyFont="1" applyFill="1" applyBorder="1" applyAlignment="1">
      <alignment wrapText="1"/>
    </xf>
    <xf numFmtId="0" fontId="6" fillId="0" borderId="0" xfId="0" applyFont="1" applyAlignment="1">
      <alignment horizontal="center" vertical="center"/>
    </xf>
    <xf numFmtId="0" fontId="28" fillId="0" borderId="0" xfId="4796" applyFont="1" applyAlignment="1"/>
    <xf numFmtId="0" fontId="12" fillId="0" borderId="0" xfId="4796" applyFont="1" applyAlignment="1"/>
    <xf numFmtId="0" fontId="12" fillId="0" borderId="0" xfId="4796" applyFont="1" applyAlignment="1">
      <alignment vertical="center"/>
    </xf>
    <xf numFmtId="0" fontId="6" fillId="0" borderId="0" xfId="4796" applyFont="1" applyAlignment="1"/>
    <xf numFmtId="0" fontId="6" fillId="0" borderId="0" xfId="4796" applyFont="1" applyFill="1" applyAlignment="1"/>
    <xf numFmtId="0" fontId="30" fillId="0" borderId="0" xfId="4810" applyFont="1" applyAlignment="1">
      <alignment horizontal="centerContinuous"/>
    </xf>
    <xf numFmtId="0" fontId="30" fillId="0" borderId="0" xfId="4810" applyFont="1" applyFill="1" applyAlignment="1">
      <alignment horizontal="centerContinuous"/>
    </xf>
    <xf numFmtId="0" fontId="31" fillId="0" borderId="0" xfId="4810" applyFont="1" applyAlignment="1">
      <alignment horizontal="centerContinuous"/>
    </xf>
    <xf numFmtId="0" fontId="12" fillId="0" borderId="0" xfId="4810" applyFont="1" applyAlignment="1"/>
    <xf numFmtId="0" fontId="12" fillId="0" borderId="0" xfId="4810" applyFont="1" applyFill="1" applyAlignment="1"/>
    <xf numFmtId="0" fontId="12" fillId="0" borderId="0" xfId="4810" applyFont="1" applyAlignment="1">
      <alignment horizontal="right"/>
    </xf>
    <xf numFmtId="0" fontId="12" fillId="0" borderId="1" xfId="4810" applyFont="1" applyBorder="1" applyAlignment="1">
      <alignment horizontal="center" vertical="center" wrapText="1"/>
    </xf>
    <xf numFmtId="49" fontId="10" fillId="0" borderId="1" xfId="4810" applyNumberFormat="1" applyFont="1" applyBorder="1" applyAlignment="1">
      <alignment horizontal="center" vertical="center" wrapText="1"/>
    </xf>
    <xf numFmtId="187" fontId="12" fillId="0" borderId="1" xfId="4809" applyNumberFormat="1" applyFont="1" applyBorder="1" applyAlignment="1">
      <alignment horizontal="center" vertical="center"/>
    </xf>
    <xf numFmtId="2" fontId="12" fillId="0" borderId="1" xfId="4809" applyNumberFormat="1" applyFont="1" applyFill="1" applyBorder="1" applyAlignment="1">
      <alignment horizontal="center" vertical="center"/>
    </xf>
    <xf numFmtId="0" fontId="11" fillId="0" borderId="1" xfId="4809" applyFont="1" applyBorder="1" applyAlignment="1">
      <alignment horizontal="center" vertical="center"/>
    </xf>
    <xf numFmtId="0" fontId="11" fillId="0" borderId="10" xfId="4809" applyFont="1" applyBorder="1" applyAlignment="1">
      <alignment horizontal="center" vertical="center"/>
    </xf>
    <xf numFmtId="0" fontId="6" fillId="0" borderId="10" xfId="4810" applyFont="1" applyBorder="1" applyAlignment="1">
      <alignment horizontal="center" vertical="center"/>
    </xf>
    <xf numFmtId="0" fontId="12" fillId="0" borderId="1" xfId="4796" applyFont="1" applyBorder="1" applyAlignment="1">
      <alignment vertical="center"/>
    </xf>
    <xf numFmtId="3" fontId="12" fillId="0" borderId="0" xfId="4796" applyNumberFormat="1" applyFont="1" applyAlignment="1">
      <alignment vertical="center"/>
    </xf>
    <xf numFmtId="0" fontId="6" fillId="0" borderId="1" xfId="4796" applyFont="1" applyBorder="1" applyAlignment="1">
      <alignment horizontal="center"/>
    </xf>
    <xf numFmtId="0" fontId="31" fillId="0" borderId="0" xfId="0" applyFont="1" applyAlignment="1">
      <alignment vertical="center"/>
    </xf>
    <xf numFmtId="0" fontId="12" fillId="0" borderId="0" xfId="0" applyFont="1" applyAlignment="1">
      <alignment horizontal="right"/>
    </xf>
    <xf numFmtId="0" fontId="6" fillId="0" borderId="0" xfId="4805" applyFont="1" applyBorder="1" applyAlignment="1"/>
    <xf numFmtId="3" fontId="12" fillId="0" borderId="1" xfId="0" applyNumberFormat="1" applyFont="1" applyBorder="1" applyAlignment="1">
      <alignment horizontal="center" vertical="center"/>
    </xf>
    <xf numFmtId="186" fontId="12" fillId="0" borderId="1" xfId="4809" applyNumberFormat="1" applyFont="1" applyBorder="1" applyAlignment="1">
      <alignment horizontal="center" vertical="center"/>
    </xf>
    <xf numFmtId="186" fontId="6" fillId="0" borderId="0" xfId="0" applyNumberFormat="1" applyFont="1" applyAlignment="1">
      <alignment vertical="center"/>
    </xf>
    <xf numFmtId="0" fontId="6" fillId="0" borderId="0" xfId="4809" applyFont="1" applyFill="1" applyAlignment="1"/>
    <xf numFmtId="0" fontId="13" fillId="0" borderId="0" xfId="4809" applyFont="1" applyAlignment="1">
      <alignment horizontal="centerContinuous"/>
    </xf>
    <xf numFmtId="0" fontId="38" fillId="0" borderId="0" xfId="4809" applyFont="1" applyFill="1" applyAlignment="1">
      <alignment horizontal="centerContinuous"/>
    </xf>
    <xf numFmtId="0" fontId="12" fillId="0" borderId="0" xfId="4809" applyFont="1" applyFill="1" applyAlignment="1"/>
    <xf numFmtId="0" fontId="12" fillId="0" borderId="1" xfId="4809" applyFont="1" applyFill="1" applyBorder="1" applyAlignment="1">
      <alignment horizontal="center" vertical="center"/>
    </xf>
    <xf numFmtId="1" fontId="6" fillId="0" borderId="0" xfId="4809" applyNumberFormat="1" applyFont="1" applyAlignment="1"/>
    <xf numFmtId="0" fontId="6" fillId="0" borderId="2" xfId="4810" applyFont="1" applyFill="1" applyBorder="1" applyAlignment="1">
      <alignment horizontal="center" vertical="center"/>
    </xf>
    <xf numFmtId="187" fontId="12" fillId="0" borderId="2" xfId="4809" applyNumberFormat="1" applyFont="1" applyBorder="1" applyAlignment="1">
      <alignment horizontal="center" vertical="center"/>
    </xf>
    <xf numFmtId="2" fontId="12" fillId="0" borderId="2" xfId="4809" applyNumberFormat="1" applyFont="1" applyFill="1" applyBorder="1" applyAlignment="1">
      <alignment horizontal="center" vertical="center"/>
    </xf>
    <xf numFmtId="0" fontId="6" fillId="2" borderId="1" xfId="4810" applyFont="1" applyFill="1" applyBorder="1" applyAlignment="1">
      <alignment horizontal="center" vertical="center"/>
    </xf>
    <xf numFmtId="0" fontId="11" fillId="0" borderId="0" xfId="4809" applyFont="1" applyBorder="1" applyAlignment="1">
      <alignment horizontal="center" vertical="center"/>
    </xf>
    <xf numFmtId="0" fontId="6" fillId="0" borderId="0" xfId="4810" applyFont="1" applyFill="1" applyBorder="1" applyAlignment="1">
      <alignment horizontal="center" vertical="center"/>
    </xf>
    <xf numFmtId="0" fontId="6" fillId="2" borderId="0" xfId="4810" applyFont="1" applyFill="1" applyBorder="1" applyAlignment="1">
      <alignment horizontal="center" vertical="center"/>
    </xf>
    <xf numFmtId="0" fontId="12" fillId="0" borderId="1" xfId="4809" applyFont="1" applyBorder="1" applyAlignment="1">
      <alignment horizontal="left" vertical="center"/>
    </xf>
    <xf numFmtId="0" fontId="12" fillId="0" borderId="1" xfId="4809" applyFont="1" applyBorder="1" applyAlignment="1">
      <alignment horizontal="left"/>
    </xf>
    <xf numFmtId="0" fontId="11" fillId="0" borderId="1" xfId="4809" applyFont="1" applyBorder="1" applyAlignment="1">
      <alignment horizontal="left"/>
    </xf>
    <xf numFmtId="0" fontId="10" fillId="0" borderId="1" xfId="4809" applyFont="1" applyBorder="1" applyAlignment="1">
      <alignment horizontal="left" vertical="center"/>
    </xf>
    <xf numFmtId="0" fontId="11" fillId="0" borderId="1" xfId="4809" applyFont="1" applyBorder="1" applyAlignment="1">
      <alignment horizontal="left" vertical="center"/>
    </xf>
    <xf numFmtId="0" fontId="11" fillId="0" borderId="0" xfId="4809" applyFont="1" applyAlignment="1">
      <alignment horizontal="left" vertical="center"/>
    </xf>
    <xf numFmtId="0" fontId="0" fillId="0" borderId="0" xfId="0" applyFill="1" applyBorder="1" applyAlignment="1"/>
    <xf numFmtId="0" fontId="32" fillId="0" borderId="0" xfId="4798" applyFont="1">
      <alignment vertical="center"/>
    </xf>
    <xf numFmtId="0" fontId="16" fillId="0" borderId="0" xfId="4798" applyFont="1" applyAlignment="1">
      <alignment horizontal="right" vertical="center"/>
    </xf>
    <xf numFmtId="0" fontId="19" fillId="0" borderId="47" xfId="4798" applyFont="1" applyBorder="1" applyAlignment="1">
      <alignment horizontal="center" vertical="center"/>
    </xf>
    <xf numFmtId="0" fontId="19" fillId="0" borderId="47" xfId="4798" applyBorder="1" applyAlignment="1">
      <alignment horizontal="center" vertical="center"/>
    </xf>
    <xf numFmtId="0" fontId="32" fillId="0" borderId="47" xfId="4798" applyFont="1" applyBorder="1" applyAlignment="1">
      <alignment horizontal="center" vertical="center"/>
    </xf>
    <xf numFmtId="0" fontId="39" fillId="0" borderId="0" xfId="0" applyFont="1" applyFill="1" applyBorder="1" applyAlignment="1">
      <alignment horizontal="center" vertical="center"/>
    </xf>
    <xf numFmtId="0" fontId="15" fillId="0" borderId="0" xfId="4809" applyFont="1" applyBorder="1" applyAlignment="1">
      <alignment horizontal="left" vertical="center" wrapText="1"/>
    </xf>
    <xf numFmtId="0" fontId="26" fillId="0" borderId="0" xfId="4809" applyFont="1" applyFill="1" applyBorder="1" applyAlignment="1">
      <alignment horizontal="left" vertical="center" wrapText="1"/>
    </xf>
    <xf numFmtId="0" fontId="26" fillId="0" borderId="0" xfId="4809" applyFont="1" applyBorder="1" applyAlignment="1">
      <alignment horizontal="left" vertical="center" wrapText="1"/>
    </xf>
    <xf numFmtId="0" fontId="13" fillId="0" borderId="0" xfId="4809" applyFont="1" applyAlignment="1">
      <alignment horizontal="center" vertical="center"/>
    </xf>
    <xf numFmtId="0" fontId="6" fillId="0" borderId="0" xfId="4805" applyFont="1" applyBorder="1" applyAlignment="1">
      <alignment horizontal="left" wrapText="1"/>
    </xf>
    <xf numFmtId="0" fontId="15" fillId="0" borderId="10" xfId="4809" applyFont="1" applyBorder="1" applyAlignment="1">
      <alignment horizontal="left" vertical="center" wrapText="1"/>
    </xf>
    <xf numFmtId="0" fontId="26" fillId="0" borderId="10" xfId="4809" applyFont="1" applyFill="1" applyBorder="1" applyAlignment="1">
      <alignment horizontal="left" vertical="center" wrapText="1"/>
    </xf>
    <xf numFmtId="0" fontId="26" fillId="0" borderId="10" xfId="4809" applyFont="1" applyBorder="1" applyAlignment="1">
      <alignment horizontal="left" vertical="center" wrapText="1"/>
    </xf>
    <xf numFmtId="0" fontId="13" fillId="0" borderId="0" xfId="4805" applyFont="1" applyBorder="1" applyAlignment="1">
      <alignment horizontal="center" vertical="center"/>
    </xf>
    <xf numFmtId="0" fontId="15" fillId="0" borderId="0" xfId="4809" applyFont="1" applyFill="1" applyBorder="1" applyAlignment="1">
      <alignment horizontal="left" wrapText="1"/>
    </xf>
    <xf numFmtId="0" fontId="15" fillId="0" borderId="10" xfId="4809" applyFont="1" applyBorder="1" applyAlignment="1">
      <alignment vertical="center" wrapText="1"/>
    </xf>
    <xf numFmtId="0" fontId="26" fillId="0" borderId="10" xfId="4809" applyFont="1" applyBorder="1" applyAlignment="1">
      <alignment vertical="center" wrapText="1"/>
    </xf>
    <xf numFmtId="0" fontId="15" fillId="0" borderId="0" xfId="4809" applyFont="1" applyBorder="1" applyAlignment="1">
      <alignment vertical="center" wrapText="1"/>
    </xf>
    <xf numFmtId="0" fontId="26" fillId="0" borderId="0" xfId="4809" applyFont="1" applyBorder="1" applyAlignment="1">
      <alignment vertical="center" wrapText="1"/>
    </xf>
    <xf numFmtId="0" fontId="6" fillId="0" borderId="13" xfId="4795" applyNumberFormat="1" applyFont="1" applyBorder="1" applyAlignment="1">
      <alignment horizontal="right" wrapText="1"/>
    </xf>
    <xf numFmtId="0" fontId="13" fillId="0" borderId="0" xfId="4800" applyFont="1" applyBorder="1" applyAlignment="1">
      <alignment horizontal="center" vertical="center"/>
    </xf>
    <xf numFmtId="0" fontId="12" fillId="0" borderId="13" xfId="4800" applyFont="1" applyBorder="1" applyAlignment="1">
      <alignment horizontal="right" vertical="center" wrapText="1"/>
    </xf>
    <xf numFmtId="0" fontId="13" fillId="0" borderId="0" xfId="4795" applyFont="1" applyAlignment="1">
      <alignment horizontal="center" vertical="center"/>
    </xf>
    <xf numFmtId="0" fontId="37" fillId="0" borderId="13" xfId="4795" applyFont="1" applyBorder="1" applyAlignment="1">
      <alignment horizontal="right" vertical="center"/>
    </xf>
    <xf numFmtId="0" fontId="37" fillId="0" borderId="10" xfId="4808" applyFont="1" applyFill="1" applyBorder="1" applyAlignment="1">
      <alignment horizontal="left" vertical="center" wrapText="1"/>
    </xf>
    <xf numFmtId="0" fontId="37" fillId="0" borderId="10" xfId="0" applyFont="1" applyFill="1" applyBorder="1" applyAlignment="1">
      <alignment horizontal="left" vertical="center" wrapText="1"/>
    </xf>
    <xf numFmtId="0" fontId="16" fillId="0" borderId="0" xfId="1888" applyFont="1" applyFill="1" applyAlignment="1">
      <alignment horizontal="right" vertical="center" wrapText="1"/>
    </xf>
    <xf numFmtId="0" fontId="20" fillId="0" borderId="0" xfId="4797" applyNumberFormat="1" applyFont="1" applyFill="1" applyBorder="1" applyAlignment="1" applyProtection="1">
      <alignment horizontal="center" vertical="center"/>
    </xf>
    <xf numFmtId="0" fontId="21" fillId="0" borderId="8" xfId="1888" applyFont="1" applyFill="1" applyBorder="1" applyAlignment="1">
      <alignment horizontal="center" vertical="center" wrapText="1"/>
    </xf>
    <xf numFmtId="0" fontId="21" fillId="0" borderId="6" xfId="1888" applyFont="1" applyFill="1" applyBorder="1" applyAlignment="1">
      <alignment horizontal="center" vertical="center" wrapText="1"/>
    </xf>
    <xf numFmtId="0" fontId="20" fillId="0" borderId="0" xfId="0" applyNumberFormat="1" applyFont="1" applyFill="1" applyBorder="1" applyAlignment="1" applyProtection="1">
      <alignment horizontal="center" vertical="center"/>
    </xf>
    <xf numFmtId="0" fontId="13" fillId="0" borderId="0" xfId="4810" applyFont="1" applyAlignment="1">
      <alignment horizontal="center" vertical="center"/>
    </xf>
    <xf numFmtId="0" fontId="13" fillId="0" borderId="0" xfId="4810" applyFont="1" applyFill="1" applyBorder="1" applyAlignment="1">
      <alignment horizontal="center" vertical="center"/>
    </xf>
    <xf numFmtId="0" fontId="13" fillId="0" borderId="0" xfId="0" applyFont="1" applyAlignment="1">
      <alignment horizontal="center" vertical="center"/>
    </xf>
    <xf numFmtId="0" fontId="12" fillId="0" borderId="1" xfId="4801" applyNumberFormat="1" applyFont="1" applyBorder="1" applyAlignment="1">
      <alignment horizontal="center" vertical="center"/>
    </xf>
    <xf numFmtId="0" fontId="13" fillId="0" borderId="0" xfId="1099" applyNumberFormat="1" applyFont="1" applyFill="1" applyAlignment="1">
      <alignment horizontal="center" vertical="center" wrapText="1"/>
    </xf>
    <xf numFmtId="0" fontId="34" fillId="0" borderId="1" xfId="4794" applyFont="1" applyFill="1" applyBorder="1" applyAlignment="1">
      <alignment horizontal="center" vertical="center" wrapText="1"/>
    </xf>
    <xf numFmtId="0" fontId="34" fillId="0" borderId="1" xfId="1099" applyNumberFormat="1" applyFont="1" applyFill="1" applyBorder="1" applyAlignment="1">
      <alignment horizontal="center" vertical="center" wrapText="1"/>
    </xf>
    <xf numFmtId="0" fontId="20" fillId="0" borderId="0" xfId="616" applyFont="1" applyFill="1" applyAlignment="1">
      <alignment horizontal="center" vertical="center"/>
    </xf>
    <xf numFmtId="0" fontId="13" fillId="0" borderId="0" xfId="0" applyFont="1" applyBorder="1" applyAlignment="1">
      <alignment horizontal="center" vertical="center"/>
    </xf>
    <xf numFmtId="0" fontId="14" fillId="0" borderId="1" xfId="0" applyFont="1" applyBorder="1" applyAlignment="1">
      <alignment horizontal="center" vertical="center"/>
    </xf>
    <xf numFmtId="0" fontId="15" fillId="0" borderId="0" xfId="0" applyFont="1" applyFill="1" applyBorder="1" applyAlignment="1">
      <alignment horizontal="left" vertical="center"/>
    </xf>
    <xf numFmtId="0" fontId="15" fillId="0" borderId="0" xfId="0" applyFont="1" applyAlignment="1">
      <alignment horizontal="righ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1" xfId="0" applyFont="1" applyBorder="1" applyAlignment="1">
      <alignment vertical="center"/>
    </xf>
    <xf numFmtId="0" fontId="20" fillId="2" borderId="0" xfId="0" applyNumberFormat="1" applyFont="1" applyFill="1" applyBorder="1" applyAlignment="1" applyProtection="1">
      <alignment horizontal="center" vertical="center"/>
    </xf>
    <xf numFmtId="0" fontId="20" fillId="2" borderId="0" xfId="3428" applyNumberFormat="1" applyFont="1" applyFill="1" applyBorder="1" applyAlignment="1" applyProtection="1">
      <alignment horizontal="center" vertical="center"/>
    </xf>
    <xf numFmtId="0" fontId="19" fillId="2" borderId="0" xfId="3428" applyNumberFormat="1" applyFont="1" applyFill="1" applyBorder="1" applyAlignment="1" applyProtection="1">
      <alignment horizontal="left" vertical="center" wrapText="1"/>
    </xf>
    <xf numFmtId="0" fontId="10" fillId="0" borderId="0" xfId="0" applyFont="1" applyAlignment="1">
      <alignment horizontal="left" wrapText="1"/>
    </xf>
    <xf numFmtId="0" fontId="10" fillId="0" borderId="0" xfId="0" applyFont="1" applyAlignment="1">
      <alignment horizontal="left"/>
    </xf>
    <xf numFmtId="0" fontId="20" fillId="2" borderId="0" xfId="8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center" wrapText="1"/>
    </xf>
    <xf numFmtId="0" fontId="11" fillId="2" borderId="7" xfId="0" applyNumberFormat="1" applyFont="1" applyFill="1" applyBorder="1" applyAlignment="1" applyProtection="1">
      <alignment horizontal="center" vertical="center"/>
    </xf>
    <xf numFmtId="0" fontId="11" fillId="2" borderId="11" xfId="0" applyNumberFormat="1" applyFont="1" applyFill="1" applyBorder="1" applyAlignment="1" applyProtection="1">
      <alignment horizontal="center" vertical="center"/>
    </xf>
    <xf numFmtId="0" fontId="11" fillId="2" borderId="10" xfId="0" applyNumberFormat="1" applyFont="1" applyFill="1" applyBorder="1" applyAlignment="1" applyProtection="1">
      <alignment horizontal="center" vertical="center"/>
    </xf>
    <xf numFmtId="0" fontId="11" fillId="2" borderId="13" xfId="0" applyNumberFormat="1" applyFont="1" applyFill="1" applyBorder="1" applyAlignment="1" applyProtection="1">
      <alignment horizontal="center" vertical="center"/>
    </xf>
    <xf numFmtId="0" fontId="13" fillId="2" borderId="0" xfId="0" applyNumberFormat="1" applyFont="1" applyFill="1" applyBorder="1" applyAlignment="1" applyProtection="1">
      <alignment horizontal="center" vertical="center"/>
    </xf>
    <xf numFmtId="0" fontId="11" fillId="2" borderId="8" xfId="0" applyNumberFormat="1" applyFont="1" applyFill="1" applyBorder="1" applyAlignment="1" applyProtection="1">
      <alignment horizontal="center" vertical="center"/>
    </xf>
    <xf numFmtId="0" fontId="11" fillId="2" borderId="9" xfId="0" applyNumberFormat="1" applyFont="1" applyFill="1" applyBorder="1" applyAlignment="1" applyProtection="1">
      <alignment horizontal="center" vertical="center"/>
    </xf>
    <xf numFmtId="0" fontId="11" fillId="2" borderId="1" xfId="0" applyNumberFormat="1" applyFont="1" applyFill="1" applyBorder="1" applyAlignment="1" applyProtection="1">
      <alignment horizontal="center" vertical="center"/>
    </xf>
    <xf numFmtId="0" fontId="11" fillId="2" borderId="15" xfId="0" applyNumberFormat="1" applyFont="1" applyFill="1" applyBorder="1" applyAlignment="1" applyProtection="1">
      <alignment horizontal="center" vertical="center"/>
    </xf>
    <xf numFmtId="0" fontId="11" fillId="2" borderId="6"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center" vertical="center"/>
    </xf>
    <xf numFmtId="0" fontId="17" fillId="0" borderId="0" xfId="0" applyNumberFormat="1" applyFont="1" applyBorder="1" applyAlignment="1">
      <alignment horizontal="center" vertical="center"/>
    </xf>
    <xf numFmtId="0" fontId="2" fillId="0" borderId="1" xfId="0" applyFont="1" applyBorder="1" applyAlignment="1">
      <alignment horizontal="left" vertical="center" wrapText="1"/>
    </xf>
    <xf numFmtId="0" fontId="9" fillId="0" borderId="0" xfId="0" applyFont="1" applyAlignment="1">
      <alignment horizontal="center" vertical="center"/>
    </xf>
    <xf numFmtId="0" fontId="9" fillId="0" borderId="0" xfId="0" applyFont="1" applyBorder="1" applyAlignment="1">
      <alignment horizontal="center" vertical="center"/>
    </xf>
    <xf numFmtId="0" fontId="1" fillId="0" borderId="0" xfId="4081" applyFont="1" applyFill="1" applyAlignment="1">
      <alignment horizontal="center" vertical="center" wrapText="1"/>
    </xf>
    <xf numFmtId="0" fontId="87" fillId="0" borderId="0" xfId="4798" applyFont="1" applyAlignment="1">
      <alignment horizontal="center" vertical="center"/>
    </xf>
    <xf numFmtId="0" fontId="16" fillId="0" borderId="48" xfId="4798" applyFont="1" applyBorder="1" applyAlignment="1">
      <alignment horizontal="left" vertical="center"/>
    </xf>
    <xf numFmtId="0" fontId="36" fillId="0" borderId="48" xfId="4798" applyFont="1" applyBorder="1" applyAlignment="1">
      <alignment horizontal="left" vertical="center"/>
    </xf>
    <xf numFmtId="0" fontId="89" fillId="0" borderId="10" xfId="0" applyFont="1" applyBorder="1" applyAlignment="1">
      <alignment horizontal="left" vertical="center" wrapText="1"/>
    </xf>
    <xf numFmtId="0" fontId="89" fillId="0" borderId="0" xfId="0" applyFont="1" applyAlignment="1">
      <alignment horizontal="left" vertical="center" wrapText="1"/>
    </xf>
    <xf numFmtId="0" fontId="2" fillId="0" borderId="10" xfId="0" applyFont="1" applyBorder="1" applyAlignment="1">
      <alignment horizontal="left" wrapText="1"/>
    </xf>
    <xf numFmtId="0" fontId="2" fillId="0" borderId="0" xfId="0" applyFont="1" applyAlignment="1">
      <alignment horizontal="left" wrapText="1"/>
    </xf>
  </cellXfs>
  <cellStyles count="5214">
    <cellStyle name="_2015年市本级财力测算(12.11)" xfId="136"/>
    <cellStyle name="_ET_STYLE_NoName_00_" xfId="138"/>
    <cellStyle name="_ET_STYLE_NoName_00_ 2" xfId="141"/>
    <cellStyle name="_邵阳" xfId="108"/>
    <cellStyle name="_邵阳 2" xfId="154"/>
    <cellStyle name="0,0_x000d__x000a_NA_x000d__x000a_" xfId="156"/>
    <cellStyle name="0,0_x000d__x000a_NA_x000d__x000a_ 2" xfId="152"/>
    <cellStyle name="0,0_x000d__x000a_NA_x000d__x000a_ 2 2" xfId="159"/>
    <cellStyle name="0,0_x000d__x000a_NA_x000d__x000a_ 2 3" xfId="166"/>
    <cellStyle name="0,0_x000d__x000a_NA_x000d__x000a_ 3" xfId="148"/>
    <cellStyle name="0,0_x000d__x000a_NA_x000d__x000a_ 4" xfId="144"/>
    <cellStyle name="0,0_x000d__x000a_NA_x000d__x000a_ 5" xfId="149"/>
    <cellStyle name="0,0_x005f_x000d__x000a_NA_x005f_x000d__x000a_" xfId="132"/>
    <cellStyle name="20% - 强调文字颜色 1 2" xfId="3"/>
    <cellStyle name="20% - 强调文字颜色 1 2 2" xfId="167"/>
    <cellStyle name="20% - 强调文字颜色 1 2 2 2" xfId="129"/>
    <cellStyle name="20% - 强调文字颜色 1 2 3" xfId="177"/>
    <cellStyle name="20% - 强调文字颜色 1 2 3 2" xfId="179"/>
    <cellStyle name="20% - 强调文字颜色 1 2 4" xfId="182"/>
    <cellStyle name="20% - 强调文字颜色 1 2 4 2" xfId="185"/>
    <cellStyle name="20% - 强调文字颜色 1 2 4 2 2" xfId="190"/>
    <cellStyle name="20% - 强调文字颜色 1 2 4 3" xfId="195"/>
    <cellStyle name="20% - 强调文字颜色 1 2 4_2017年人大参阅资料（代表大会-定）1.14" xfId="201"/>
    <cellStyle name="20% - 强调文字颜色 1 2 5" xfId="205"/>
    <cellStyle name="20% - 强调文字颜色 1 2_2017年人大参阅资料（代表大会-定）1.14" xfId="207"/>
    <cellStyle name="20% - 强调文字颜色 1 3" xfId="151"/>
    <cellStyle name="20% - 强调文字颜色 1 3 2" xfId="157"/>
    <cellStyle name="20% - 强调文字颜色 1 3 2 2" xfId="209"/>
    <cellStyle name="20% - 强调文字颜色 1 3 3" xfId="162"/>
    <cellStyle name="20% - 强调文字颜色 1 3 3 2" xfId="212"/>
    <cellStyle name="20% - 强调文字颜色 1 3 4" xfId="215"/>
    <cellStyle name="20% - 强调文字颜色 1 3_2017年人大参阅资料（代表大会-定）1.14" xfId="220"/>
    <cellStyle name="20% - 强调文字颜色 1 4" xfId="146"/>
    <cellStyle name="20% - 强调文字颜色 1 4 2" xfId="221"/>
    <cellStyle name="20% - 强调文字颜色 1 5" xfId="143"/>
    <cellStyle name="20% - 强调文字颜色 2 2" xfId="153"/>
    <cellStyle name="20% - 强调文字颜色 2 2 2" xfId="130"/>
    <cellStyle name="20% - 强调文字颜色 2 2 2 2" xfId="222"/>
    <cellStyle name="20% - 强调文字颜色 2 2 3" xfId="224"/>
    <cellStyle name="20% - 强调文字颜色 2 2 3 2" xfId="228"/>
    <cellStyle name="20% - 强调文字颜色 2 2 4" xfId="229"/>
    <cellStyle name="20% - 强调文字颜色 2 2 4 2" xfId="234"/>
    <cellStyle name="20% - 强调文字颜色 2 2 4 2 2" xfId="238"/>
    <cellStyle name="20% - 强调文字颜色 2 2 4 3" xfId="241"/>
    <cellStyle name="20% - 强调文字颜色 2 2 4_2017年人大参阅资料（代表大会-定）1.14" xfId="244"/>
    <cellStyle name="20% - 强调文字颜色 2 2 5" xfId="246"/>
    <cellStyle name="20% - 强调文字颜色 2 2_2017年人大参阅资料（代表大会-定）1.14" xfId="247"/>
    <cellStyle name="20% - 强调文字颜色 2 3" xfId="252"/>
    <cellStyle name="20% - 强调文字颜色 2 3 2" xfId="255"/>
    <cellStyle name="20% - 强调文字颜色 2 3 2 2" xfId="258"/>
    <cellStyle name="20% - 强调文字颜色 2 3 3" xfId="261"/>
    <cellStyle name="20% - 强调文字颜色 2 3 3 2" xfId="265"/>
    <cellStyle name="20% - 强调文字颜色 2 3 4" xfId="269"/>
    <cellStyle name="20% - 强调文字颜色 2 3_2017年人大参阅资料（代表大会-定）1.14" xfId="271"/>
    <cellStyle name="20% - 强调文字颜色 2 4" xfId="276"/>
    <cellStyle name="20% - 强调文字颜色 2 4 2" xfId="78"/>
    <cellStyle name="20% - 强调文字颜色 2 5" xfId="278"/>
    <cellStyle name="20% - 强调文字颜色 3 2" xfId="281"/>
    <cellStyle name="20% - 强调文字颜色 3 2 2" xfId="283"/>
    <cellStyle name="20% - 强调文字颜色 3 2 2 2" xfId="287"/>
    <cellStyle name="20% - 强调文字颜色 3 2 3" xfId="292"/>
    <cellStyle name="20% - 强调文字颜色 3 2 3 2" xfId="297"/>
    <cellStyle name="20% - 强调文字颜色 3 2 4" xfId="300"/>
    <cellStyle name="20% - 强调文字颜色 3 2 4 2" xfId="301"/>
    <cellStyle name="20% - 强调文字颜色 3 2 4 2 2" xfId="305"/>
    <cellStyle name="20% - 强调文字颜色 3 2 4 3" xfId="308"/>
    <cellStyle name="20% - 强调文字颜色 3 2 4_2017年人大参阅资料（代表大会-定）1.14" xfId="315"/>
    <cellStyle name="20% - 强调文字颜色 3 2 5" xfId="319"/>
    <cellStyle name="20% - 强调文字颜色 3 2_2017年人大参阅资料（代表大会-定）1.14" xfId="322"/>
    <cellStyle name="20% - 强调文字颜色 3 3" xfId="102"/>
    <cellStyle name="20% - 强调文字颜色 3 3 2" xfId="127"/>
    <cellStyle name="20% - 强调文字颜色 3 3 2 2" xfId="329"/>
    <cellStyle name="20% - 强调文字颜色 3 3 3" xfId="333"/>
    <cellStyle name="20% - 强调文字颜色 3 3 3 2" xfId="337"/>
    <cellStyle name="20% - 强调文字颜色 3 3 4" xfId="341"/>
    <cellStyle name="20% - 强调文字颜色 3 3_2017年人大参阅资料（代表大会-定）1.14" xfId="345"/>
    <cellStyle name="20% - 强调文字颜色 3 4" xfId="350"/>
    <cellStyle name="20% - 强调文字颜色 3 4 2" xfId="354"/>
    <cellStyle name="20% - 强调文字颜色 3 5" xfId="359"/>
    <cellStyle name="20% - 强调文字颜色 4 2" xfId="361"/>
    <cellStyle name="20% - 强调文字颜色 4 2 2" xfId="363"/>
    <cellStyle name="20% - 强调文字颜色 4 2 2 2" xfId="342"/>
    <cellStyle name="20% - 强调文字颜色 4 2 3" xfId="365"/>
    <cellStyle name="20% - 强调文字颜色 4 2 3 2" xfId="370"/>
    <cellStyle name="20% - 强调文字颜色 4 2 4" xfId="372"/>
    <cellStyle name="20% - 强调文字颜色 4 2 4 2" xfId="376"/>
    <cellStyle name="20% - 强调文字颜色 4 2 4 2 2" xfId="381"/>
    <cellStyle name="20% - 强调文字颜色 4 2 4 3" xfId="23"/>
    <cellStyle name="20% - 强调文字颜色 4 2 4_2017年人大参阅资料（代表大会-定）1.14" xfId="386"/>
    <cellStyle name="20% - 强调文字颜色 4 2 5" xfId="388"/>
    <cellStyle name="20% - 强调文字颜色 4 2_2017年人大参阅资料（代表大会-定）1.14" xfId="393"/>
    <cellStyle name="20% - 强调文字颜色 4 3" xfId="396"/>
    <cellStyle name="20% - 强调文字颜色 4 3 2" xfId="398"/>
    <cellStyle name="20% - 强调文字颜色 4 3 2 2" xfId="401"/>
    <cellStyle name="20% - 强调文字颜色 4 3 3" xfId="404"/>
    <cellStyle name="20% - 强调文字颜色 4 3 3 2" xfId="408"/>
    <cellStyle name="20% - 强调文字颜色 4 3 4" xfId="402"/>
    <cellStyle name="20% - 强调文字颜色 4 3_2017年人大参阅资料（代表大会-定）1.14" xfId="412"/>
    <cellStyle name="20% - 强调文字颜色 4 4" xfId="416"/>
    <cellStyle name="20% - 强调文字颜色 4 4 2" xfId="55"/>
    <cellStyle name="20% - 强调文字颜色 4 5" xfId="46"/>
    <cellStyle name="20% - 强调文字颜色 5 2" xfId="418"/>
    <cellStyle name="20% - 强调文字颜色 5 2 2" xfId="421"/>
    <cellStyle name="20% - 强调文字颜色 5 2 2 2" xfId="429"/>
    <cellStyle name="20% - 强调文字颜色 5 2 3" xfId="432"/>
    <cellStyle name="20% - 强调文字颜色 5 2 3 2" xfId="437"/>
    <cellStyle name="20% - 强调文字颜色 5 2 3 2 2" xfId="274"/>
    <cellStyle name="20% - 强调文字颜色 5 2 3 3" xfId="67"/>
    <cellStyle name="20% - 强调文字颜色 5 2 3_2017年人大参阅资料（代表大会-定）1.14" xfId="438"/>
    <cellStyle name="20% - 强调文字颜色 5 2 4" xfId="442"/>
    <cellStyle name="20% - 强调文字颜色 5 2_2017年人大参阅资料（代表大会-定）1.14" xfId="443"/>
    <cellStyle name="20% - 强调文字颜色 5 3" xfId="446"/>
    <cellStyle name="20% - 强调文字颜色 5 3 2" xfId="451"/>
    <cellStyle name="20% - 强调文字颜色 5 3 2 2" xfId="455"/>
    <cellStyle name="20% - 强调文字颜色 5 3 3" xfId="60"/>
    <cellStyle name="20% - 强调文字颜色 5 3 3 2" xfId="460"/>
    <cellStyle name="20% - 强调文字颜色 5 3 4" xfId="65"/>
    <cellStyle name="20% - 强调文字颜色 5 3_2017年人大参阅资料（代表大会-定）1.14" xfId="464"/>
    <cellStyle name="20% - 强调文字颜色 5 4" xfId="469"/>
    <cellStyle name="20% - 强调文字颜色 5 4 2" xfId="473"/>
    <cellStyle name="20% - 强调文字颜色 5 5" xfId="478"/>
    <cellStyle name="20% - 强调文字颜色 6 2" xfId="482"/>
    <cellStyle name="20% - 强调文字颜色 6 2 2" xfId="489"/>
    <cellStyle name="20% - 强调文字颜色 6 2 2 2" xfId="494"/>
    <cellStyle name="20% - 强调文字颜色 6 2 3" xfId="499"/>
    <cellStyle name="20% - 强调文字颜色 6 2 3 2" xfId="502"/>
    <cellStyle name="20% - 强调文字颜色 6 2 3 2 2" xfId="504"/>
    <cellStyle name="20% - 强调文字颜色 6 2 3 3" xfId="507"/>
    <cellStyle name="20% - 强调文字颜色 6 2 3_2017年人大参阅资料（代表大会-定）1.14" xfId="22"/>
    <cellStyle name="20% - 强调文字颜色 6 2 4" xfId="510"/>
    <cellStyle name="20% - 强调文字颜色 6 2_2017年人大参阅资料（代表大会-定）1.14" xfId="327"/>
    <cellStyle name="20% - 强调文字颜色 6 3" xfId="513"/>
    <cellStyle name="20% - 强调文字颜色 6 3 2" xfId="516"/>
    <cellStyle name="20% - 强调文字颜色 6 3 2 2" xfId="522"/>
    <cellStyle name="20% - 强调文字颜色 6 3 3" xfId="525"/>
    <cellStyle name="20% - 强调文字颜色 6 3 3 2" xfId="528"/>
    <cellStyle name="20% - 强调文字颜色 6 3 4" xfId="531"/>
    <cellStyle name="20% - 强调文字颜色 6 3 5" xfId="90"/>
    <cellStyle name="20% - 强调文字颜色 6 3_2017年人大参阅资料（代表大会-定）1.14" xfId="422"/>
    <cellStyle name="20% - 强调文字颜色 6 4" xfId="463"/>
    <cellStyle name="20% - 强调文字颜色 6 4 2" xfId="536"/>
    <cellStyle name="20% - 强调文字颜色 6 5" xfId="540"/>
    <cellStyle name="40% - 强调文字颜色 1 2" xfId="544"/>
    <cellStyle name="40% - 强调文字颜色 1 2 2" xfId="545"/>
    <cellStyle name="40% - 强调文字颜色 1 2 2 2" xfId="546"/>
    <cellStyle name="40% - 强调文字颜色 1 2 3" xfId="547"/>
    <cellStyle name="40% - 强调文字颜色 1 2 3 2" xfId="548"/>
    <cellStyle name="40% - 强调文字颜色 1 2 4" xfId="549"/>
    <cellStyle name="40% - 强调文字颜色 1 2 4 2" xfId="10"/>
    <cellStyle name="40% - 强调文字颜色 1 2 4 2 2" xfId="551"/>
    <cellStyle name="40% - 强调文字颜色 1 2 4 3" xfId="558"/>
    <cellStyle name="40% - 强调文字颜色 1 2 4_2017年人大参阅资料（代表大会-定）1.14" xfId="559"/>
    <cellStyle name="40% - 强调文字颜色 1 2 5" xfId="567"/>
    <cellStyle name="40% - 强调文字颜色 1 2_2017年人大参阅资料（代表大会-定）1.14" xfId="35"/>
    <cellStyle name="40% - 强调文字颜色 1 3" xfId="569"/>
    <cellStyle name="40% - 强调文字颜色 1 3 2" xfId="570"/>
    <cellStyle name="40% - 强调文字颜色 1 3 2 2" xfId="571"/>
    <cellStyle name="40% - 强调文字颜色 1 3 3" xfId="572"/>
    <cellStyle name="40% - 强调文字颜色 1 3 3 2" xfId="573"/>
    <cellStyle name="40% - 强调文字颜色 1 3 4" xfId="574"/>
    <cellStyle name="40% - 强调文字颜色 1 3 5" xfId="11"/>
    <cellStyle name="40% - 强调文字颜色 1 3_2017年人大参阅资料（代表大会-定）1.14" xfId="575"/>
    <cellStyle name="40% - 强调文字颜色 1 4" xfId="581"/>
    <cellStyle name="40% - 强调文字颜色 1 4 2" xfId="585"/>
    <cellStyle name="40% - 强调文字颜色 1 5" xfId="587"/>
    <cellStyle name="40% - 强调文字颜色 2 2" xfId="176"/>
    <cellStyle name="40% - 强调文字颜色 2 2 2" xfId="178"/>
    <cellStyle name="40% - 强调文字颜色 2 2 2 2" xfId="590"/>
    <cellStyle name="40% - 强调文字颜色 2 2 3" xfId="591"/>
    <cellStyle name="40% - 强调文字颜色 2 2 3 2" xfId="592"/>
    <cellStyle name="40% - 强调文字颜色 2 2 3 2 2" xfId="21"/>
    <cellStyle name="40% - 强调文字颜色 2 2 3 3" xfId="595"/>
    <cellStyle name="40% - 强调文字颜色 2 2 3_2017年人大参阅资料（代表大会-定）1.14" xfId="598"/>
    <cellStyle name="40% - 强调文字颜色 2 2 4" xfId="599"/>
    <cellStyle name="40% - 强调文字颜色 2 2_2017年人大参阅资料（代表大会-定）1.14" xfId="600"/>
    <cellStyle name="40% - 强调文字颜色 2 3" xfId="181"/>
    <cellStyle name="40% - 强调文字颜色 2 3 2" xfId="184"/>
    <cellStyle name="40% - 强调文字颜色 2 3 2 2" xfId="192"/>
    <cellStyle name="40% - 强调文字颜色 2 3 3" xfId="194"/>
    <cellStyle name="40% - 强调文字颜色 2 3 3 2" xfId="602"/>
    <cellStyle name="40% - 强调文字颜色 2 3 4" xfId="604"/>
    <cellStyle name="40% - 强调文字颜色 2 3 5" xfId="606"/>
    <cellStyle name="40% - 强调文字颜色 2 3_2017年人大参阅资料（代表大会-定）1.14" xfId="199"/>
    <cellStyle name="40% - 强调文字颜色 2 4" xfId="204"/>
    <cellStyle name="40% - 强调文字颜色 2 4 2" xfId="608"/>
    <cellStyle name="40% - 强调文字颜色 2 5" xfId="610"/>
    <cellStyle name="40% - 强调文字颜色 3 2" xfId="161"/>
    <cellStyle name="40% - 强调文字颜色 3 2 2" xfId="210"/>
    <cellStyle name="40% - 强调文字颜色 3 2 2 2" xfId="613"/>
    <cellStyle name="40% - 强调文字颜色 3 2 3" xfId="614"/>
    <cellStyle name="40% - 强调文字颜色 3 2 3 2" xfId="619"/>
    <cellStyle name="40% - 强调文字颜色 3 2 4" xfId="612"/>
    <cellStyle name="40% - 强调文字颜色 3 2 4 2" xfId="620"/>
    <cellStyle name="40% - 强调文字颜色 3 2 4 2 2" xfId="622"/>
    <cellStyle name="40% - 强调文字颜色 3 2 4 3" xfId="623"/>
    <cellStyle name="40% - 强调文字颜色 3 2 4_2017年人大参阅资料（代表大会-定）1.14" xfId="95"/>
    <cellStyle name="40% - 强调文字颜色 3 2 5" xfId="624"/>
    <cellStyle name="40% - 强调文字颜色 3 2_2017年人大参阅资料（代表大会-定）1.14" xfId="118"/>
    <cellStyle name="40% - 强调文字颜色 3 3" xfId="213"/>
    <cellStyle name="40% - 强调文字颜色 3 3 2" xfId="628"/>
    <cellStyle name="40% - 强调文字颜色 3 3 2 2" xfId="633"/>
    <cellStyle name="40% - 强调文字颜色 3 3 3" xfId="82"/>
    <cellStyle name="40% - 强调文字颜色 3 3 3 2" xfId="32"/>
    <cellStyle name="40% - 强调文字颜色 3 3 4" xfId="618"/>
    <cellStyle name="40% - 强调文字颜色 3 3_2017年人大参阅资料（代表大会-定）1.14" xfId="476"/>
    <cellStyle name="40% - 强调文字颜色 3 4" xfId="635"/>
    <cellStyle name="40% - 强调文字颜色 3 4 2" xfId="316"/>
    <cellStyle name="40% - 强调文字颜色 3 5" xfId="637"/>
    <cellStyle name="40% - 强调文字颜色 4 2" xfId="86"/>
    <cellStyle name="40% - 强调文字颜色 4 2 2" xfId="640"/>
    <cellStyle name="40% - 强调文字颜色 4 2 2 2" xfId="642"/>
    <cellStyle name="40% - 强调文字颜色 4 2 3" xfId="644"/>
    <cellStyle name="40% - 强调文字颜色 4 2 3 2" xfId="105"/>
    <cellStyle name="40% - 强调文字颜色 4 2 4" xfId="629"/>
    <cellStyle name="40% - 强调文字颜色 4 2 4 2" xfId="646"/>
    <cellStyle name="40% - 强调文字颜色 4 2 4 2 2" xfId="650"/>
    <cellStyle name="40% - 强调文字颜色 4 2 4 3" xfId="651"/>
    <cellStyle name="40% - 强调文字颜色 4 2 4_2017年人大参阅资料（代表大会-定）1.14" xfId="652"/>
    <cellStyle name="40% - 强调文字颜色 4 2 5" xfId="653"/>
    <cellStyle name="40% - 强调文字颜色 4 2_2017年人大参阅资料（代表大会-定）1.14" xfId="655"/>
    <cellStyle name="40% - 强调文字颜色 4 3" xfId="656"/>
    <cellStyle name="40% - 强调文字颜色 4 3 2" xfId="107"/>
    <cellStyle name="40% - 强调文字颜色 4 3 2 2" xfId="543"/>
    <cellStyle name="40% - 强调文字颜色 4 3 3" xfId="111"/>
    <cellStyle name="40% - 强调文字颜色 4 3 3 2" xfId="174"/>
    <cellStyle name="40% - 强调文字颜色 4 3 4" xfId="28"/>
    <cellStyle name="40% - 强调文字颜色 4 3 5" xfId="115"/>
    <cellStyle name="40% - 强调文字颜色 4 3_2017年人大参阅资料（代表大会-定）1.14" xfId="660"/>
    <cellStyle name="40% - 强调文字颜色 4 4" xfId="485"/>
    <cellStyle name="40% - 强调文字颜色 4 4 2" xfId="491"/>
    <cellStyle name="40% - 强调文字颜色 4 5" xfId="495"/>
    <cellStyle name="40% - 强调文字颜色 5 2" xfId="661"/>
    <cellStyle name="40% - 强调文字颜色 5 2 2" xfId="538"/>
    <cellStyle name="40% - 强调文字颜色 5 2 2 2" xfId="666"/>
    <cellStyle name="40% - 强调文字颜色 5 2 3" xfId="669"/>
    <cellStyle name="40% - 强调文字颜色 5 2 3 2" xfId="675"/>
    <cellStyle name="40% - 强调文字颜色 5 2 3 2 2" xfId="679"/>
    <cellStyle name="40% - 强调文字颜色 5 2 3 3" xfId="685"/>
    <cellStyle name="40% - 强调文字颜色 5 2 3_2017年人大参阅资料（代表大会-定）1.14" xfId="272"/>
    <cellStyle name="40% - 强调文字颜色 5 2 4" xfId="687"/>
    <cellStyle name="40% - 强调文字颜色 5 2_2017年人大参阅资料（代表大会-定）1.14" xfId="693"/>
    <cellStyle name="40% - 强调文字颜色 5 3" xfId="654"/>
    <cellStyle name="40% - 强调文字颜色 5 3 2" xfId="697"/>
    <cellStyle name="40% - 强调文字颜色 5 3 2 2" xfId="701"/>
    <cellStyle name="40% - 强调文字颜色 5 3 3" xfId="704"/>
    <cellStyle name="40% - 强调文字颜色 5 3 3 2" xfId="40"/>
    <cellStyle name="40% - 强调文字颜色 5 3 4" xfId="707"/>
    <cellStyle name="40% - 强调文字颜色 5 3 5" xfId="708"/>
    <cellStyle name="40% - 强调文字颜色 5 3_2017年人大参阅资料（代表大会-定）1.14" xfId="712"/>
    <cellStyle name="40% - 强调文字颜色 5 4" xfId="514"/>
    <cellStyle name="40% - 强调文字颜色 5 4 2" xfId="520"/>
    <cellStyle name="40% - 强调文字颜色 5 5" xfId="526"/>
    <cellStyle name="40% - 强调文字颜色 6 2" xfId="325"/>
    <cellStyle name="40% - 强调文字颜色 6 2 2" xfId="717"/>
    <cellStyle name="40% - 强调文字颜色 6 2 2 2" xfId="720"/>
    <cellStyle name="40% - 强调文字颜色 6 2 3" xfId="550"/>
    <cellStyle name="40% - 强调文字颜色 6 2 3 2" xfId="725"/>
    <cellStyle name="40% - 强调文字颜色 6 2 4" xfId="727"/>
    <cellStyle name="40% - 强调文字颜色 6 2 4 2" xfId="730"/>
    <cellStyle name="40% - 强调文字颜色 6 2 4 2 2" xfId="733"/>
    <cellStyle name="40% - 强调文字颜色 6 2 4 3" xfId="582"/>
    <cellStyle name="40% - 强调文字颜色 6 2 4_2017年人大参阅资料（代表大会-定）1.14" xfId="736"/>
    <cellStyle name="40% - 强调文字颜色 6 2 5" xfId="738"/>
    <cellStyle name="40% - 强调文字颜色 6 2_2017年人大参阅资料（代表大会-定）1.14" xfId="716"/>
    <cellStyle name="40% - 强调文字颜色 6 3" xfId="739"/>
    <cellStyle name="40% - 强调文字颜色 6 3 2" xfId="741"/>
    <cellStyle name="40% - 强调文字颜色 6 3 2 2" xfId="742"/>
    <cellStyle name="40% - 强调文字颜色 6 3 3" xfId="746"/>
    <cellStyle name="40% - 强调文字颜色 6 3 3 2" xfId="747"/>
    <cellStyle name="40% - 强调文字颜色 6 3 4" xfId="751"/>
    <cellStyle name="40% - 强调文字颜色 6 3 5" xfId="344"/>
    <cellStyle name="40% - 强调文字颜色 6 3_2017年人大参阅资料（代表大会-定）1.14" xfId="759"/>
    <cellStyle name="40% - 强调文字颜色 6 4" xfId="532"/>
    <cellStyle name="40% - 强调文字颜色 6 4 2" xfId="42"/>
    <cellStyle name="40% - 强调文字颜色 6 5" xfId="91"/>
    <cellStyle name="60% - 强调文字颜色 1 2" xfId="348"/>
    <cellStyle name="60% - 强调文字颜色 1 2 2" xfId="352"/>
    <cellStyle name="60% - 强调文字颜色 1 2 2 2" xfId="761"/>
    <cellStyle name="60% - 强调文字颜色 1 2 3" xfId="763"/>
    <cellStyle name="60% - 强调文字颜色 1 2 3 2" xfId="765"/>
    <cellStyle name="60% - 强调文字颜色 1 2 4" xfId="366"/>
    <cellStyle name="60% - 强调文字颜色 1 2 4 2" xfId="767"/>
    <cellStyle name="60% - 强调文字颜色 1 3" xfId="356"/>
    <cellStyle name="60% - 强调文字颜色 1 3 2" xfId="770"/>
    <cellStyle name="60% - 强调文字颜色 1 3 2 2" xfId="773"/>
    <cellStyle name="60% - 强调文字颜色 1 3 3" xfId="779"/>
    <cellStyle name="60% - 强调文字颜色 1 3 3 2" xfId="757"/>
    <cellStyle name="60% - 强调文字颜色 1 3 4" xfId="375"/>
    <cellStyle name="60% - 强调文字颜色 1 3_2017年人大参阅资料（代表大会-定）1.14" xfId="232"/>
    <cellStyle name="60% - 强调文字颜色 1 4" xfId="226"/>
    <cellStyle name="60% - 强调文字颜色 1 4 2" xfId="781"/>
    <cellStyle name="60% - 强调文字颜色 1 5" xfId="782"/>
    <cellStyle name="60% - 强调文字颜色 2 2" xfId="414"/>
    <cellStyle name="60% - 强调文字颜色 2 2 2" xfId="53"/>
    <cellStyle name="60% - 强调文字颜色 2 2 2 2" xfId="62"/>
    <cellStyle name="60% - 强调文字颜色 2 2 3" xfId="783"/>
    <cellStyle name="60% - 强调文字颜色 2 2 3 2" xfId="785"/>
    <cellStyle name="60% - 强调文字颜色 2 2 4" xfId="405"/>
    <cellStyle name="60% - 强调文字颜色 2 2 4 2" xfId="787"/>
    <cellStyle name="60% - 强调文字颜色 2 3" xfId="44"/>
    <cellStyle name="60% - 强调文字颜色 2 3 2" xfId="792"/>
    <cellStyle name="60% - 强调文字颜色 2 3 2 2" xfId="530"/>
    <cellStyle name="60% - 强调文字颜色 2 3 3" xfId="140"/>
    <cellStyle name="60% - 强调文字颜色 2 3 3 2" xfId="219"/>
    <cellStyle name="60% - 强调文字颜色 2 3 4" xfId="794"/>
    <cellStyle name="60% - 强调文字颜色 2 3_2017年人大参阅资料（代表大会-定）1.14" xfId="187"/>
    <cellStyle name="60% - 强调文字颜色 2 4" xfId="230"/>
    <cellStyle name="60% - 强调文字颜色 2 4 2" xfId="236"/>
    <cellStyle name="60% - 强调文字颜色 2 5" xfId="239"/>
    <cellStyle name="60% - 强调文字颜色 3 2" xfId="466"/>
    <cellStyle name="60% - 强调文字颜色 3 2 2" xfId="470"/>
    <cellStyle name="60% - 强调文字颜色 3 2 2 2" xfId="250"/>
    <cellStyle name="60% - 强调文字颜色 3 2 3" xfId="795"/>
    <cellStyle name="60% - 强调文字颜色 3 2 3 2" xfId="99"/>
    <cellStyle name="60% - 强调文字颜色 3 2 4" xfId="784"/>
    <cellStyle name="60% - 强调文字颜色 3 2 4 2" xfId="394"/>
    <cellStyle name="60% - 强调文字颜色 3 3" xfId="474"/>
    <cellStyle name="60% - 强调文字颜色 3 3 2" xfId="796"/>
    <cellStyle name="60% - 强调文字颜色 3 3 2 2" xfId="798"/>
    <cellStyle name="60% - 强调文字颜色 3 3 3" xfId="800"/>
    <cellStyle name="60% - 强调文字颜色 3 3 3 2" xfId="801"/>
    <cellStyle name="60% - 强调文字颜色 3 3 4" xfId="786"/>
    <cellStyle name="60% - 强调文字颜色 3 3_2017年人大参阅资料（代表大会-定）1.14" xfId="556"/>
    <cellStyle name="60% - 强调文字颜色 3 4" xfId="802"/>
    <cellStyle name="60% - 强调文字颜色 3 4 2" xfId="803"/>
    <cellStyle name="60% - 强调文字颜色 3 5" xfId="804"/>
    <cellStyle name="60% - 强调文字颜色 4 2" xfId="461"/>
    <cellStyle name="60% - 强调文字颜色 4 2 2" xfId="533"/>
    <cellStyle name="60% - 强调文字颜色 4 2 2 2" xfId="43"/>
    <cellStyle name="60% - 强调文字颜色 4 2 3" xfId="93"/>
    <cellStyle name="60% - 强调文字颜色 4 2 3 2" xfId="806"/>
    <cellStyle name="60% - 强调文字颜色 4 2 4" xfId="218"/>
    <cellStyle name="60% - 强调文字颜色 4 2 4 2" xfId="75"/>
    <cellStyle name="60% - 强调文字颜色 4 3" xfId="537"/>
    <cellStyle name="60% - 强调文字颜色 4 3 2" xfId="664"/>
    <cellStyle name="60% - 强调文字颜色 4 3 2 2" xfId="810"/>
    <cellStyle name="60% - 强调文字颜色 4 3 3" xfId="815"/>
    <cellStyle name="60% - 强调文字颜色 4 3 3 2" xfId="820"/>
    <cellStyle name="60% - 强调文字颜色 4 3 4" xfId="827"/>
    <cellStyle name="60% - 强调文字颜色 4 3_2017年人大参阅资料（代表大会-定）1.14" xfId="830"/>
    <cellStyle name="60% - 强调文字颜色 4 4" xfId="667"/>
    <cellStyle name="60% - 强调文字颜色 4 4 2" xfId="672"/>
    <cellStyle name="60% - 强调文字颜色 4 5" xfId="686"/>
    <cellStyle name="60% - 强调文字颜色 5 2" xfId="832"/>
    <cellStyle name="60% - 强调文字颜色 5 2 2" xfId="834"/>
    <cellStyle name="60% - 强调文字颜色 5 2 2 2" xfId="121"/>
    <cellStyle name="60% - 强调文字颜色 5 2 3" xfId="836"/>
    <cellStyle name="60% - 强调文字颜色 5 2 3 2" xfId="838"/>
    <cellStyle name="60% - 强调文字颜色 5 2 4" xfId="841"/>
    <cellStyle name="60% - 强调文字颜色 5 2 4 2" xfId="845"/>
    <cellStyle name="60% - 强调文字颜色 5 3" xfId="695"/>
    <cellStyle name="60% - 强调文字颜色 5 3 2" xfId="699"/>
    <cellStyle name="60% - 强调文字颜色 5 3 2 2" xfId="849"/>
    <cellStyle name="60% - 强调文字颜色 5 3 3" xfId="852"/>
    <cellStyle name="60% - 强调文字颜色 5 3 3 2" xfId="853"/>
    <cellStyle name="60% - 强调文字颜色 5 3 4" xfId="391"/>
    <cellStyle name="60% - 强调文字颜色 5 3_2017年人大参阅资料（代表大会-定）1.14" xfId="169"/>
    <cellStyle name="60% - 强调文字颜色 5 4" xfId="702"/>
    <cellStyle name="60% - 强调文字颜色 5 4 2" xfId="38"/>
    <cellStyle name="60% - 强调文字颜色 5 5" xfId="706"/>
    <cellStyle name="60% - 强调文字颜色 6 2" xfId="593"/>
    <cellStyle name="60% - 强调文字颜色 6 2 2" xfId="856"/>
    <cellStyle name="60% - 强调文字颜色 6 2 2 2" xfId="203"/>
    <cellStyle name="60% - 强调文字颜色 6 2 3" xfId="858"/>
    <cellStyle name="60% - 强调文字颜色 6 2 3 2" xfId="634"/>
    <cellStyle name="60% - 强调文字颜色 6 2 4" xfId="480"/>
    <cellStyle name="60% - 强调文字颜色 6 2 4 2" xfId="484"/>
    <cellStyle name="60% - 强调文字颜色 6 3" xfId="518"/>
    <cellStyle name="60% - 强调文字颜色 6 3 2" xfId="37"/>
    <cellStyle name="60% - 强调文字颜色 6 3 2 2" xfId="245"/>
    <cellStyle name="60% - 强调文字颜色 6 3 3" xfId="649"/>
    <cellStyle name="60% - 强调文字颜色 6 3 3 2" xfId="242"/>
    <cellStyle name="60% - 强调文字颜色 6 3 4" xfId="861"/>
    <cellStyle name="60% - 强调文字颜色 6 3_2017年人大参阅资料（代表大会-定）1.14" xfId="864"/>
    <cellStyle name="60% - 强调文字颜色 6 4" xfId="248"/>
    <cellStyle name="60% - 强调文字颜色 6 4 2" xfId="865"/>
    <cellStyle name="60% - 强调文字颜色 6 5" xfId="621"/>
    <cellStyle name="Calc Currency (0)" xfId="867"/>
    <cellStyle name="Calc Currency (0) 2" xfId="868"/>
    <cellStyle name="ColLevel_0" xfId="869"/>
    <cellStyle name="gcd" xfId="843"/>
    <cellStyle name="gcd 2" xfId="776"/>
    <cellStyle name="gcd 2 2" xfId="753"/>
    <cellStyle name="gcd 3" xfId="373"/>
    <cellStyle name="gcd 3 2" xfId="380"/>
    <cellStyle name="gcd 4" xfId="19"/>
    <cellStyle name="Grey" xfId="873"/>
    <cellStyle name="Grey 2" xfId="878"/>
    <cellStyle name="Header1" xfId="828"/>
    <cellStyle name="Header2" xfId="854"/>
    <cellStyle name="Input [yellow]" xfId="775"/>
    <cellStyle name="Input [yellow] 2" xfId="752"/>
    <cellStyle name="Input_2017年人大参阅资料（代表大会-定）1.14" xfId="517"/>
    <cellStyle name="no dec" xfId="524"/>
    <cellStyle name="no dec 2" xfId="527"/>
    <cellStyle name="no dec 3" xfId="879"/>
    <cellStyle name="Normal - Style1" xfId="682"/>
    <cellStyle name="Normal - Style1 2" xfId="880"/>
    <cellStyle name="Normal_APR" xfId="447"/>
    <cellStyle name="Percent [2]" xfId="565"/>
    <cellStyle name="Percent [2] 2" xfId="713"/>
    <cellStyle name="RowLevel_0" xfId="698"/>
    <cellStyle name="百分比 2" xfId="882"/>
    <cellStyle name="百分比 2 2" xfId="883"/>
    <cellStyle name="百分比 2 2 2" xfId="884"/>
    <cellStyle name="百分比 2 2 2 2" xfId="223"/>
    <cellStyle name="百分比 2 2 3" xfId="886"/>
    <cellStyle name="百分比 2 2 4" xfId="888"/>
    <cellStyle name="百分比 2 3" xfId="889"/>
    <cellStyle name="百分比 2 3 2" xfId="505"/>
    <cellStyle name="百分比 2 3 2 2" xfId="288"/>
    <cellStyle name="百分比 2 3 3" xfId="891"/>
    <cellStyle name="百分比 2 4" xfId="893"/>
    <cellStyle name="百分比 2 4 2" xfId="895"/>
    <cellStyle name="百分比 2 5" xfId="134"/>
    <cellStyle name="百分比 2 5 2" xfId="897"/>
    <cellStyle name="标题 1 2" xfId="458"/>
    <cellStyle name="标题 1 2 2" xfId="898"/>
    <cellStyle name="标题 1 2 2 2" xfId="899"/>
    <cellStyle name="标题 1 2 3" xfId="901"/>
    <cellStyle name="标题 1 2 4" xfId="285"/>
    <cellStyle name="标题 1 2 4 2" xfId="596"/>
    <cellStyle name="标题 1 3" xfId="902"/>
    <cellStyle name="标题 1 3 2" xfId="903"/>
    <cellStyle name="标题 1 3 2 2" xfId="904"/>
    <cellStyle name="标题 1 3 3" xfId="906"/>
    <cellStyle name="标题 1 3_2017年人大参阅资料（代表大会-定）1.14" xfId="846"/>
    <cellStyle name="标题 1 4" xfId="907"/>
    <cellStyle name="标题 1 4 2" xfId="124"/>
    <cellStyle name="标题 1 5" xfId="908"/>
    <cellStyle name="标题 2 2" xfId="872"/>
    <cellStyle name="标题 2 2 2" xfId="877"/>
    <cellStyle name="标题 2 2 2 2" xfId="561"/>
    <cellStyle name="标题 2 2 3" xfId="911"/>
    <cellStyle name="标题 2 2 3 2" xfId="17"/>
    <cellStyle name="标题 2 2 4" xfId="324"/>
    <cellStyle name="标题 2 2 4 2" xfId="714"/>
    <cellStyle name="标题 2 3" xfId="913"/>
    <cellStyle name="标题 2 3 2" xfId="198"/>
    <cellStyle name="标题 2 3 2 2" xfId="914"/>
    <cellStyle name="标题 2 3 3" xfId="916"/>
    <cellStyle name="标题 2 3 3 2" xfId="605"/>
    <cellStyle name="标题 2 3 4" xfId="334"/>
    <cellStyle name="标题 2 3_2017年人大参阅资料（代表大会-定）1.14" xfId="122"/>
    <cellStyle name="标题 2 4" xfId="918"/>
    <cellStyle name="标题 2 4 2" xfId="920"/>
    <cellStyle name="标题 2 5" xfId="921"/>
    <cellStyle name="标题 3 2" xfId="923"/>
    <cellStyle name="标题 3 2 2" xfId="927"/>
    <cellStyle name="标题 3 2 2 2" xfId="932"/>
    <cellStyle name="标题 3 2 3" xfId="935"/>
    <cellStyle name="标题 3 2 3 2" xfId="385"/>
    <cellStyle name="标题 3 2 4" xfId="760"/>
    <cellStyle name="标题 3 2 4 2" xfId="206"/>
    <cellStyle name="标题 3 3" xfId="937"/>
    <cellStyle name="标题 3 3 2" xfId="939"/>
    <cellStyle name="标题 3 3 2 2" xfId="940"/>
    <cellStyle name="标题 3 3 3" xfId="941"/>
    <cellStyle name="标题 3 3 3 2" xfId="942"/>
    <cellStyle name="标题 3 3 4" xfId="764"/>
    <cellStyle name="标题 3 3_2017年人大参阅资料（代表大会-定）1.14" xfId="639"/>
    <cellStyle name="标题 3 4" xfId="944"/>
    <cellStyle name="标题 3 4 2" xfId="690"/>
    <cellStyle name="标题 3 5" xfId="946"/>
    <cellStyle name="标题 4 2" xfId="947"/>
    <cellStyle name="标题 4 2 2" xfId="950"/>
    <cellStyle name="标题 4 2 2 2" xfId="953"/>
    <cellStyle name="标题 4 2 3" xfId="955"/>
    <cellStyle name="标题 4 2 3 2" xfId="956"/>
    <cellStyle name="标题 4 2 4" xfId="957"/>
    <cellStyle name="标题 4 2 4 2" xfId="958"/>
    <cellStyle name="标题 4 3" xfId="960"/>
    <cellStyle name="标题 4 3 2" xfId="962"/>
    <cellStyle name="标题 4 3 2 2" xfId="963"/>
    <cellStyle name="标题 4 3 3" xfId="964"/>
    <cellStyle name="标题 4 3 3 2" xfId="965"/>
    <cellStyle name="标题 4 3 4" xfId="754"/>
    <cellStyle name="标题 4 3_2017年人大参阅资料（代表大会-定）1.14" xfId="966"/>
    <cellStyle name="标题 4 4" xfId="968"/>
    <cellStyle name="标题 4 4 2" xfId="971"/>
    <cellStyle name="标题 4 5" xfId="973"/>
    <cellStyle name="标题 5" xfId="974"/>
    <cellStyle name="标题 5 2" xfId="975"/>
    <cellStyle name="标题 5 2 2" xfId="978"/>
    <cellStyle name="标题 5 3" xfId="979"/>
    <cellStyle name="标题 5 3 2" xfId="114"/>
    <cellStyle name="标题 6" xfId="980"/>
    <cellStyle name="标题 6 2" xfId="981"/>
    <cellStyle name="标题 6 2 2" xfId="311"/>
    <cellStyle name="标题 6 3" xfId="982"/>
    <cellStyle name="标题 6_2017年人大参阅资料（代表大会-定）1.14" xfId="985"/>
    <cellStyle name="标题 7" xfId="986"/>
    <cellStyle name="标题 7 2" xfId="987"/>
    <cellStyle name="标题 8" xfId="988"/>
    <cellStyle name="标题 9" xfId="991"/>
    <cellStyle name="表标题" xfId="995"/>
    <cellStyle name="表标题 2" xfId="997"/>
    <cellStyle name="表标题 2 2" xfId="999"/>
    <cellStyle name="表标题 2 2 2" xfId="1001"/>
    <cellStyle name="表标题 2 3" xfId="1003"/>
    <cellStyle name="表标题 3" xfId="1005"/>
    <cellStyle name="差 2" xfId="1007"/>
    <cellStyle name="差 2 2" xfId="1008"/>
    <cellStyle name="差 2 2 2" xfId="1009"/>
    <cellStyle name="差 2 3" xfId="1012"/>
    <cellStyle name="差 2 3 2" xfId="98"/>
    <cellStyle name="差 2 4" xfId="1014"/>
    <cellStyle name="差 3" xfId="1015"/>
    <cellStyle name="差 3 2" xfId="1016"/>
    <cellStyle name="差 3 2 2" xfId="1017"/>
    <cellStyle name="差 3 3" xfId="1020"/>
    <cellStyle name="差 3 3 2" xfId="1022"/>
    <cellStyle name="差 3 4" xfId="1024"/>
    <cellStyle name="差 3_2017年人大参阅资料（代表大会-定）1.14" xfId="1025"/>
    <cellStyle name="差 4" xfId="1026"/>
    <cellStyle name="差 4 2" xfId="1028"/>
    <cellStyle name="差 5" xfId="1029"/>
    <cellStyle name="差_2015年市本级全口径预算草案 - 副本" xfId="1031"/>
    <cellStyle name="差_7、2018年预算政府一般和专项债务限额和余额情况表" xfId="1032"/>
    <cellStyle name="差_9、2018年市本级政府预算重点民生项目表" xfId="799"/>
    <cellStyle name="差_表一 1" xfId="1034"/>
    <cellStyle name="差_表一 1 2" xfId="1036"/>
    <cellStyle name="差_表一 1 3" xfId="1038"/>
    <cellStyle name="差_表一 1 3 2" xfId="1041"/>
    <cellStyle name="差_大通湖" xfId="1043"/>
    <cellStyle name="差_德山" xfId="1044"/>
    <cellStyle name="差_德山 2" xfId="1045"/>
    <cellStyle name="差_德山 3" xfId="1046"/>
    <cellStyle name="差_德山 3 2" xfId="1047"/>
    <cellStyle name="差_附件2 益阳市市级国有资本经营预算表(4)" xfId="1048"/>
    <cellStyle name="差_附件2 益阳市市级国有资本经营预算表(定稿)" xfId="1050"/>
    <cellStyle name="差_市本级" xfId="1052"/>
    <cellStyle name="差_市本级 2" xfId="1053"/>
    <cellStyle name="差_市本级 3" xfId="208"/>
    <cellStyle name="差_市本级 3 2" xfId="984"/>
    <cellStyle name="差_武陵" xfId="1054"/>
    <cellStyle name="差_武陵 2" xfId="1056"/>
    <cellStyle name="差_武陵 3" xfId="296"/>
    <cellStyle name="差_武陵 3 2" xfId="1058"/>
    <cellStyle name="差_湘潭" xfId="211"/>
    <cellStyle name="差_湘潭 2" xfId="1061"/>
    <cellStyle name="差_湘潭 3" xfId="1066"/>
    <cellStyle name="差_湘潭 3 2" xfId="1071"/>
    <cellStyle name="差_岳塘区" xfId="1073"/>
    <cellStyle name="差_岳塘区 2" xfId="1075"/>
    <cellStyle name="差_岳塘区 3" xfId="1076"/>
    <cellStyle name="差_岳塘区 3 2" xfId="1078"/>
    <cellStyle name="差_岳阳楼区11年地方财政预算表" xfId="1079"/>
    <cellStyle name="差_岳阳楼区11年地方财政预算表 2" xfId="1081"/>
    <cellStyle name="差_岳阳楼区11年地方财政预算表 3" xfId="1083"/>
    <cellStyle name="差_岳阳楼区11年地方财政预算表 3 2" xfId="1087"/>
    <cellStyle name="差_长沙" xfId="1089"/>
    <cellStyle name="差_长沙 2" xfId="1091"/>
    <cellStyle name="差_长沙 2 2" xfId="1093"/>
    <cellStyle name="差_长沙 3" xfId="1094"/>
    <cellStyle name="差_长沙 4" xfId="1096"/>
    <cellStyle name="常规" xfId="0" builtinId="0"/>
    <cellStyle name="常规 10" xfId="1099"/>
    <cellStyle name="常规 10 10" xfId="1100"/>
    <cellStyle name="常规 10 10 2" xfId="1102"/>
    <cellStyle name="常规 10 10 2 2" xfId="1104"/>
    <cellStyle name="常规 10 10 2 2 2" xfId="1105"/>
    <cellStyle name="常规 10 10 2 3" xfId="1106"/>
    <cellStyle name="常规 10 10 3" xfId="1109"/>
    <cellStyle name="常规 10 10 3 2" xfId="1111"/>
    <cellStyle name="常规 10 10 4" xfId="1113"/>
    <cellStyle name="常规 10 10 4 2" xfId="1115"/>
    <cellStyle name="常规 10 10 5" xfId="173"/>
    <cellStyle name="常规 10 11" xfId="1117"/>
    <cellStyle name="常规 10 11 2" xfId="1119"/>
    <cellStyle name="常规 10 11 2 2" xfId="1121"/>
    <cellStyle name="常规 10 11 3" xfId="1124"/>
    <cellStyle name="常规 10 11 3 2" xfId="321"/>
    <cellStyle name="常规 10 11 4" xfId="1126"/>
    <cellStyle name="常规 10 12" xfId="1127"/>
    <cellStyle name="常规 10 12 2" xfId="1129"/>
    <cellStyle name="常规 10 12 2 2" xfId="1131"/>
    <cellStyle name="常规 10 12 3" xfId="1134"/>
    <cellStyle name="常规 10 13" xfId="1135"/>
    <cellStyle name="常规 10 13 2" xfId="1137"/>
    <cellStyle name="常规 10 14" xfId="1138"/>
    <cellStyle name="常规 10 2" xfId="1139"/>
    <cellStyle name="常规 10 2 2" xfId="1141"/>
    <cellStyle name="常规 10 2 2 2" xfId="1144"/>
    <cellStyle name="常规 10 2 2 2 2" xfId="1145"/>
    <cellStyle name="常规 10 2 2 2 2 2" xfId="1148"/>
    <cellStyle name="常规 10 2 2 2 2 2 2" xfId="1151"/>
    <cellStyle name="常规 10 2 2 2 2 3" xfId="659"/>
    <cellStyle name="常规 10 2 2 2 3" xfId="419"/>
    <cellStyle name="常规 10 2 2 2 3 2" xfId="427"/>
    <cellStyle name="常规 10 2 2 2 4" xfId="430"/>
    <cellStyle name="常规 10 2 2 2 4 2" xfId="435"/>
    <cellStyle name="常规 10 2 2 2 5" xfId="439"/>
    <cellStyle name="常规 10 2 2 3" xfId="1152"/>
    <cellStyle name="常规 10 2 2 3 2" xfId="1153"/>
    <cellStyle name="常规 10 2 2 3 2 2" xfId="1155"/>
    <cellStyle name="常规 10 2 2 3 3" xfId="448"/>
    <cellStyle name="常规 10 2 2 3 3 2" xfId="453"/>
    <cellStyle name="常规 10 2 2 3 4" xfId="57"/>
    <cellStyle name="常规 10 2 2 4" xfId="1156"/>
    <cellStyle name="常规 10 2 2 4 2" xfId="1157"/>
    <cellStyle name="常规 10 2 2 4 2 2" xfId="1161"/>
    <cellStyle name="常规 10 2 2 4 3" xfId="471"/>
    <cellStyle name="常规 10 2 2 5" xfId="1162"/>
    <cellStyle name="常规 10 2 2 5 2" xfId="1163"/>
    <cellStyle name="常规 10 2 2 6" xfId="1164"/>
    <cellStyle name="常规 10 2 3" xfId="1166"/>
    <cellStyle name="常规 10 2 3 2" xfId="270"/>
    <cellStyle name="常规 10 2 3 2 2" xfId="1168"/>
    <cellStyle name="常规 10 2 3 2 2 2" xfId="1170"/>
    <cellStyle name="常规 10 2 3 2 2 2 2" xfId="1172"/>
    <cellStyle name="常规 10 2 3 2 2 3" xfId="1174"/>
    <cellStyle name="常规 10 2 3 2 3" xfId="486"/>
    <cellStyle name="常规 10 2 3 2 3 2" xfId="493"/>
    <cellStyle name="常规 10 2 3 2 4" xfId="498"/>
    <cellStyle name="常规 10 2 3 2 4 2" xfId="501"/>
    <cellStyle name="常规 10 2 3 2 5" xfId="509"/>
    <cellStyle name="常规 10 2 3 3" xfId="1175"/>
    <cellStyle name="常规 10 2 3 3 2" xfId="1177"/>
    <cellStyle name="常规 10 2 3 3 2 2" xfId="1178"/>
    <cellStyle name="常规 10 2 3 3 3" xfId="515"/>
    <cellStyle name="常规 10 2 3 3 3 2" xfId="521"/>
    <cellStyle name="常规 10 2 3 3 4" xfId="523"/>
    <cellStyle name="常规 10 2 3 4" xfId="1179"/>
    <cellStyle name="常规 10 2 3 4 2" xfId="1182"/>
    <cellStyle name="常规 10 2 3 4 2 2" xfId="1184"/>
    <cellStyle name="常规 10 2 3 4 3" xfId="535"/>
    <cellStyle name="常规 10 2 3 5" xfId="1185"/>
    <cellStyle name="常规 10 2 3 5 2" xfId="1188"/>
    <cellStyle name="常规 10 2 3 6" xfId="1189"/>
    <cellStyle name="常规 10 2 4" xfId="1190"/>
    <cellStyle name="常规 10 2 4 2" xfId="1191"/>
    <cellStyle name="常规 10 2 4 2 2" xfId="1192"/>
    <cellStyle name="常规 10 2 4 2 2 2" xfId="1194"/>
    <cellStyle name="常规 10 2 4 2 2 2 2" xfId="1196"/>
    <cellStyle name="常规 10 2 4 2 2 3" xfId="1198"/>
    <cellStyle name="常规 10 2 4 2 3" xfId="1199"/>
    <cellStyle name="常规 10 2 4 2 3 2" xfId="1202"/>
    <cellStyle name="常规 10 2 4 2 4" xfId="1203"/>
    <cellStyle name="常规 10 2 4 2 4 2" xfId="1205"/>
    <cellStyle name="常规 10 2 4 2 5" xfId="1206"/>
    <cellStyle name="常规 10 2 4 3" xfId="1208"/>
    <cellStyle name="常规 10 2 4 3 2" xfId="1209"/>
    <cellStyle name="常规 10 2 4 3 2 2" xfId="1212"/>
    <cellStyle name="常规 10 2 4 3 3" xfId="1213"/>
    <cellStyle name="常规 10 2 4 3 3 2" xfId="1215"/>
    <cellStyle name="常规 10 2 4 3 4" xfId="1216"/>
    <cellStyle name="常规 10 2 4 4" xfId="1218"/>
    <cellStyle name="常规 10 2 4 4 2" xfId="1220"/>
    <cellStyle name="常规 10 2 4 4 2 2" xfId="1222"/>
    <cellStyle name="常规 10 2 4 4 3" xfId="1225"/>
    <cellStyle name="常规 10 2 4 5" xfId="1227"/>
    <cellStyle name="常规 10 2 4 5 2" xfId="1229"/>
    <cellStyle name="常规 10 2 4 6" xfId="1231"/>
    <cellStyle name="常规 10 2 5" xfId="1232"/>
    <cellStyle name="常规 10 2 5 2" xfId="1233"/>
    <cellStyle name="常规 10 2 5 2 2" xfId="1234"/>
    <cellStyle name="常规 10 2 5 2 2 2" xfId="1236"/>
    <cellStyle name="常规 10 2 5 2 3" xfId="1237"/>
    <cellStyle name="常规 10 2 5 3" xfId="1239"/>
    <cellStyle name="常规 10 2 5 3 2" xfId="1240"/>
    <cellStyle name="常规 10 2 5 4" xfId="1242"/>
    <cellStyle name="常规 10 2 5 4 2" xfId="1244"/>
    <cellStyle name="常规 10 2 5 5" xfId="1246"/>
    <cellStyle name="常规 10 2 6" xfId="1248"/>
    <cellStyle name="常规 10 2 6 2" xfId="1249"/>
    <cellStyle name="常规 10 2 6 2 2" xfId="1251"/>
    <cellStyle name="常规 10 2 6 3" xfId="1252"/>
    <cellStyle name="常规 10 2 6 3 2" xfId="1253"/>
    <cellStyle name="常规 10 2 6 4" xfId="1256"/>
    <cellStyle name="常规 10 2 7" xfId="1257"/>
    <cellStyle name="常规 10 2 7 2" xfId="1258"/>
    <cellStyle name="常规 10 2 7 2 2" xfId="1260"/>
    <cellStyle name="常规 10 2 7 3" xfId="1250"/>
    <cellStyle name="常规 10 2 8" xfId="1261"/>
    <cellStyle name="常规 10 2 8 2" xfId="1262"/>
    <cellStyle name="常规 10 2 9" xfId="1264"/>
    <cellStyle name="常规 10 2_9、2018年市本级政府预算重点民生项目表" xfId="326"/>
    <cellStyle name="常规 10 3" xfId="1265"/>
    <cellStyle name="常规 10 3 2" xfId="1267"/>
    <cellStyle name="常规 10 3 2 2" xfId="1268"/>
    <cellStyle name="常规 10 3 2 2 2" xfId="1269"/>
    <cellStyle name="常规 10 3 2 2 2 2" xfId="1270"/>
    <cellStyle name="常规 10 3 2 2 2 2 2" xfId="1271"/>
    <cellStyle name="常规 10 3 2 2 2 3" xfId="1272"/>
    <cellStyle name="常规 10 3 2 2 3" xfId="1274"/>
    <cellStyle name="常规 10 3 2 2 3 2" xfId="1278"/>
    <cellStyle name="常规 10 3 2 2 4" xfId="1281"/>
    <cellStyle name="常规 10 3 2 2 4 2" xfId="1284"/>
    <cellStyle name="常规 10 3 2 2 5" xfId="1159"/>
    <cellStyle name="常规 10 3 2 3" xfId="1286"/>
    <cellStyle name="常规 10 3 2 3 2" xfId="1287"/>
    <cellStyle name="常规 10 3 2 3 2 2" xfId="1289"/>
    <cellStyle name="常规 10 3 2 3 3" xfId="1291"/>
    <cellStyle name="常规 10 3 2 3 3 2" xfId="1293"/>
    <cellStyle name="常规 10 3 2 3 4" xfId="1295"/>
    <cellStyle name="常规 10 3 2 4" xfId="1297"/>
    <cellStyle name="常规 10 3 2 4 2" xfId="1298"/>
    <cellStyle name="常规 10 3 2 4 2 2" xfId="1303"/>
    <cellStyle name="常规 10 3 2 4 3" xfId="1304"/>
    <cellStyle name="常规 10 3 2 5" xfId="1306"/>
    <cellStyle name="常规 10 3 2 5 2" xfId="1307"/>
    <cellStyle name="常规 10 3 2 6" xfId="1308"/>
    <cellStyle name="常规 10 3 3" xfId="1311"/>
    <cellStyle name="常规 10 3 3 2" xfId="1312"/>
    <cellStyle name="常规 10 3 3 2 2" xfId="1313"/>
    <cellStyle name="常规 10 3 3 2 2 2" xfId="1314"/>
    <cellStyle name="常规 10 3 3 2 2 2 2" xfId="1316"/>
    <cellStyle name="常规 10 3 3 2 2 3" xfId="833"/>
    <cellStyle name="常规 10 3 3 2 3" xfId="1317"/>
    <cellStyle name="常规 10 3 3 2 3 2" xfId="1320"/>
    <cellStyle name="常规 10 3 3 2 4" xfId="1321"/>
    <cellStyle name="常规 10 3 3 2 4 2" xfId="1322"/>
    <cellStyle name="常规 10 3 3 2 5" xfId="1323"/>
    <cellStyle name="常规 10 3 3 3" xfId="1324"/>
    <cellStyle name="常规 10 3 3 3 2" xfId="1325"/>
    <cellStyle name="常规 10 3 3 3 2 2" xfId="829"/>
    <cellStyle name="常规 10 3 3 3 3" xfId="1326"/>
    <cellStyle name="常规 10 3 3 3 3 2" xfId="1327"/>
    <cellStyle name="常规 10 3 3 3 4" xfId="1328"/>
    <cellStyle name="常规 10 3 3 4" xfId="1329"/>
    <cellStyle name="常规 10 3 3 4 2" xfId="1330"/>
    <cellStyle name="常规 10 3 3 4 2 2" xfId="1332"/>
    <cellStyle name="常规 10 3 3 4 3" xfId="1333"/>
    <cellStyle name="常规 10 3 3 5" xfId="1334"/>
    <cellStyle name="常规 10 3 3 5 2" xfId="1335"/>
    <cellStyle name="常规 10 3 3 6" xfId="1336"/>
    <cellStyle name="常规 10 3 4" xfId="1337"/>
    <cellStyle name="常规 10 3 4 2" xfId="1338"/>
    <cellStyle name="常规 10 3 4 2 2" xfId="1339"/>
    <cellStyle name="常规 10 3 4 2 2 2" xfId="1340"/>
    <cellStyle name="常规 10 3 4 2 2 2 2" xfId="1342"/>
    <cellStyle name="常规 10 3 4 2 2 3" xfId="1344"/>
    <cellStyle name="常规 10 3 4 2 3" xfId="1345"/>
    <cellStyle name="常规 10 3 4 2 3 2" xfId="1348"/>
    <cellStyle name="常规 10 3 4 2 4" xfId="1349"/>
    <cellStyle name="常规 10 3 4 2 4 2" xfId="1350"/>
    <cellStyle name="常规 10 3 4 2 5" xfId="1351"/>
    <cellStyle name="常规 10 3 4 3" xfId="994"/>
    <cellStyle name="常规 10 3 4 3 2" xfId="996"/>
    <cellStyle name="常规 10 3 4 3 2 2" xfId="998"/>
    <cellStyle name="常规 10 3 4 3 3" xfId="1004"/>
    <cellStyle name="常规 10 3 4 3 3 2" xfId="1352"/>
    <cellStyle name="常规 10 3 4 3 4" xfId="1353"/>
    <cellStyle name="常规 10 3 4 4" xfId="1355"/>
    <cellStyle name="常规 10 3 4 4 2" xfId="1357"/>
    <cellStyle name="常规 10 3 4 4 2 2" xfId="1359"/>
    <cellStyle name="常规 10 3 4 4 3" xfId="1361"/>
    <cellStyle name="常规 10 3 4 5" xfId="1363"/>
    <cellStyle name="常规 10 3 4 5 2" xfId="1365"/>
    <cellStyle name="常规 10 3 4 6" xfId="1367"/>
    <cellStyle name="常规 10 3 5" xfId="1368"/>
    <cellStyle name="常规 10 3 5 2" xfId="1369"/>
    <cellStyle name="常规 10 3 5 2 2" xfId="1370"/>
    <cellStyle name="常规 10 3 5 2 2 2" xfId="275"/>
    <cellStyle name="常规 10 3 5 2 3" xfId="1371"/>
    <cellStyle name="常规 10 3 5 3" xfId="1372"/>
    <cellStyle name="常规 10 3 5 3 2" xfId="1373"/>
    <cellStyle name="常规 10 3 5 4" xfId="1375"/>
    <cellStyle name="常规 10 3 5 4 2" xfId="1377"/>
    <cellStyle name="常规 10 3 5 5" xfId="1379"/>
    <cellStyle name="常规 10 3 6" xfId="1381"/>
    <cellStyle name="常规 10 3 6 2" xfId="61"/>
    <cellStyle name="常规 10 3 6 2 2" xfId="457"/>
    <cellStyle name="常规 10 3 6 3" xfId="66"/>
    <cellStyle name="常规 10 3 6 3 2" xfId="871"/>
    <cellStyle name="常规 10 3 6 4" xfId="72"/>
    <cellStyle name="常规 10 3 7" xfId="1382"/>
    <cellStyle name="常规 10 3 7 2" xfId="1383"/>
    <cellStyle name="常规 10 3 7 2 2" xfId="1385"/>
    <cellStyle name="常规 10 3 7 3" xfId="1259"/>
    <cellStyle name="常规 10 3 8" xfId="1386"/>
    <cellStyle name="常规 10 3 8 2" xfId="1387"/>
    <cellStyle name="常规 10 3 9" xfId="1389"/>
    <cellStyle name="常规 10 4" xfId="1391"/>
    <cellStyle name="常规 10 4 2" xfId="1393"/>
    <cellStyle name="常规 10 4 2 2" xfId="1395"/>
    <cellStyle name="常规 10 4 2 2 2" xfId="1396"/>
    <cellStyle name="常规 10 4 2 2 2 2" xfId="1397"/>
    <cellStyle name="常规 10 4 2 2 2 2 2" xfId="1399"/>
    <cellStyle name="常规 10 4 2 2 2 3" xfId="1400"/>
    <cellStyle name="常规 10 4 2 2 3" xfId="1402"/>
    <cellStyle name="常规 10 4 2 2 3 2" xfId="1403"/>
    <cellStyle name="常规 10 4 2 2 4" xfId="1404"/>
    <cellStyle name="常规 10 4 2 2 4 2" xfId="1405"/>
    <cellStyle name="常规 10 4 2 2 5" xfId="1183"/>
    <cellStyle name="常规 10 4 2 3" xfId="1406"/>
    <cellStyle name="常规 10 4 2 3 2" xfId="1407"/>
    <cellStyle name="常规 10 4 2 3 2 2" xfId="1408"/>
    <cellStyle name="常规 10 4 2 3 3" xfId="1409"/>
    <cellStyle name="常规 10 4 2 3 3 2" xfId="1410"/>
    <cellStyle name="常规 10 4 2 3 4" xfId="1051"/>
    <cellStyle name="常规 10 4 2 4" xfId="1411"/>
    <cellStyle name="常规 10 4 2 4 2" xfId="1412"/>
    <cellStyle name="常规 10 4 2 4 2 2" xfId="1416"/>
    <cellStyle name="常规 10 4 2 4 3" xfId="1417"/>
    <cellStyle name="常规 10 4 2 5" xfId="1420"/>
    <cellStyle name="常规 10 4 2 5 2" xfId="69"/>
    <cellStyle name="常规 10 4 2 6" xfId="1422"/>
    <cellStyle name="常规 10 4 3" xfId="1425"/>
    <cellStyle name="常规 10 4 3 2" xfId="1427"/>
    <cellStyle name="常规 10 4 3 2 2" xfId="1428"/>
    <cellStyle name="常规 10 4 3 2 2 2" xfId="1429"/>
    <cellStyle name="常规 10 4 3 2 2 2 2" xfId="750"/>
    <cellStyle name="常规 10 4 3 2 2 3" xfId="1430"/>
    <cellStyle name="常规 10 4 3 2 3" xfId="1432"/>
    <cellStyle name="常规 10 4 3 2 3 2" xfId="145"/>
    <cellStyle name="常规 10 4 3 2 4" xfId="1433"/>
    <cellStyle name="常规 10 4 3 2 4 2" xfId="1434"/>
    <cellStyle name="常规 10 4 3 2 5" xfId="1436"/>
    <cellStyle name="常规 10 4 3 3" xfId="1437"/>
    <cellStyle name="常规 10 4 3 3 2" xfId="1438"/>
    <cellStyle name="常规 10 4 3 3 2 2" xfId="1439"/>
    <cellStyle name="常规 10 4 3 3 3" xfId="1440"/>
    <cellStyle name="常规 10 4 3 3 3 2" xfId="1441"/>
    <cellStyle name="常规 10 4 3 3 4" xfId="1442"/>
    <cellStyle name="常规 10 4 3 4" xfId="1443"/>
    <cellStyle name="常规 10 4 3 4 2" xfId="1444"/>
    <cellStyle name="常规 10 4 3 4 2 2" xfId="1446"/>
    <cellStyle name="常规 10 4 3 4 3" xfId="1447"/>
    <cellStyle name="常规 10 4 3 5" xfId="1449"/>
    <cellStyle name="常规 10 4 3 5 2" xfId="1450"/>
    <cellStyle name="常规 10 4 3 6" xfId="1451"/>
    <cellStyle name="常规 10 4 4" xfId="1454"/>
    <cellStyle name="常规 10 4 4 2" xfId="1455"/>
    <cellStyle name="常规 10 4 4 2 2" xfId="1456"/>
    <cellStyle name="常规 10 4 4 2 2 2" xfId="1458"/>
    <cellStyle name="常规 10 4 4 2 2 2 2" xfId="1461"/>
    <cellStyle name="常规 10 4 4 2 2 3" xfId="1463"/>
    <cellStyle name="常规 10 4 4 2 3" xfId="1465"/>
    <cellStyle name="常规 10 4 4 2 3 2" xfId="1466"/>
    <cellStyle name="常规 10 4 4 2 4" xfId="1467"/>
    <cellStyle name="常规 10 4 4 2 4 2" xfId="1468"/>
    <cellStyle name="常规 10 4 4 2 5" xfId="1055"/>
    <cellStyle name="常规 10 4 4 3" xfId="1469"/>
    <cellStyle name="常规 10 4 4 3 2" xfId="1470"/>
    <cellStyle name="常规 10 4 4 3 2 2" xfId="1472"/>
    <cellStyle name="常规 10 4 4 3 3" xfId="1473"/>
    <cellStyle name="常规 10 4 4 3 3 2" xfId="1474"/>
    <cellStyle name="常规 10 4 4 3 4" xfId="1475"/>
    <cellStyle name="常规 10 4 4 4" xfId="1092"/>
    <cellStyle name="常规 10 4 4 4 2" xfId="1476"/>
    <cellStyle name="常规 10 4 4 4 2 2" xfId="1478"/>
    <cellStyle name="常规 10 4 4 4 3" xfId="1479"/>
    <cellStyle name="常规 10 4 4 5" xfId="1480"/>
    <cellStyle name="常规 10 4 4 5 2" xfId="1482"/>
    <cellStyle name="常规 10 4 4 6" xfId="1483"/>
    <cellStyle name="常规 10 4 5" xfId="1484"/>
    <cellStyle name="常规 10 4 5 2" xfId="1485"/>
    <cellStyle name="常规 10 4 5 2 2" xfId="1489"/>
    <cellStyle name="常规 10 4 5 2 2 2" xfId="1493"/>
    <cellStyle name="常规 10 4 5 2 3" xfId="1496"/>
    <cellStyle name="常规 10 4 5 3" xfId="1497"/>
    <cellStyle name="常规 10 4 5 3 2" xfId="1498"/>
    <cellStyle name="常规 10 4 5 4" xfId="1499"/>
    <cellStyle name="常规 10 4 5 4 2" xfId="1500"/>
    <cellStyle name="常规 10 4 5 5" xfId="1501"/>
    <cellStyle name="常规 10 4 6" xfId="1502"/>
    <cellStyle name="常规 10 4 6 2" xfId="1503"/>
    <cellStyle name="常规 10 4 6 2 2" xfId="1507"/>
    <cellStyle name="常规 10 4 6 3" xfId="1508"/>
    <cellStyle name="常规 10 4 6 3 2" xfId="1510"/>
    <cellStyle name="常规 10 4 6 4" xfId="1512"/>
    <cellStyle name="常规 10 4 7" xfId="1513"/>
    <cellStyle name="常规 10 4 7 2" xfId="94"/>
    <cellStyle name="常规 10 4 7 2 2" xfId="1515"/>
    <cellStyle name="常规 10 4 7 3" xfId="1516"/>
    <cellStyle name="常规 10 4 8" xfId="641"/>
    <cellStyle name="常规 10 4 8 2" xfId="1517"/>
    <cellStyle name="常规 10 4 9" xfId="1518"/>
    <cellStyle name="常规 10 5" xfId="1519"/>
    <cellStyle name="常规 10 5 2" xfId="1521"/>
    <cellStyle name="常规 10 5 2 2" xfId="1523"/>
    <cellStyle name="常规 10 5 2 2 2" xfId="972"/>
    <cellStyle name="常规 10 5 2 2 2 2" xfId="1524"/>
    <cellStyle name="常规 10 5 2 2 3" xfId="1525"/>
    <cellStyle name="常规 10 5 2 3" xfId="1528"/>
    <cellStyle name="常规 10 5 2 3 2" xfId="1529"/>
    <cellStyle name="常规 10 5 2 4" xfId="1027"/>
    <cellStyle name="常规 10 5 2 4 2" xfId="1530"/>
    <cellStyle name="常规 10 5 2 5" xfId="1532"/>
    <cellStyle name="常规 10 5 3" xfId="1534"/>
    <cellStyle name="常规 10 5 3 2" xfId="1535"/>
    <cellStyle name="常规 10 5 3 2 2" xfId="1536"/>
    <cellStyle name="常规 10 5 3 3" xfId="1537"/>
    <cellStyle name="常规 10 5 3 3 2" xfId="1538"/>
    <cellStyle name="常规 10 5 3 4" xfId="1539"/>
    <cellStyle name="常规 10 5 4" xfId="1541"/>
    <cellStyle name="常规 10 5 4 2" xfId="1542"/>
    <cellStyle name="常规 10 5 4 2 2" xfId="1543"/>
    <cellStyle name="常规 10 5 4 3" xfId="1544"/>
    <cellStyle name="常规 10 5 5" xfId="1545"/>
    <cellStyle name="常规 10 5 5 2" xfId="1548"/>
    <cellStyle name="常规 10 5 6" xfId="1550"/>
    <cellStyle name="常规 10 6" xfId="1552"/>
    <cellStyle name="常规 10 6 2" xfId="1554"/>
    <cellStyle name="常规 10 6 2 2" xfId="1555"/>
    <cellStyle name="常规 10 6 2 2 2" xfId="1556"/>
    <cellStyle name="常规 10 6 2 2 2 2" xfId="1557"/>
    <cellStyle name="常规 10 6 2 2 3" xfId="1560"/>
    <cellStyle name="常规 10 6 2 3" xfId="1561"/>
    <cellStyle name="常规 10 6 2 3 2" xfId="1562"/>
    <cellStyle name="常规 10 6 2 4" xfId="1563"/>
    <cellStyle name="常规 10 6 2 4 2" xfId="1564"/>
    <cellStyle name="常规 10 6 2 5" xfId="1566"/>
    <cellStyle name="常规 10 6 3" xfId="1567"/>
    <cellStyle name="常规 10 6 3 2" xfId="1568"/>
    <cellStyle name="常规 10 6 3 2 2" xfId="1569"/>
    <cellStyle name="常规 10 6 3 3" xfId="1570"/>
    <cellStyle name="常规 10 6 3 3 2" xfId="1571"/>
    <cellStyle name="常规 10 6 3 4" xfId="249"/>
    <cellStyle name="常规 10 6 4" xfId="1572"/>
    <cellStyle name="常规 10 6 4 2" xfId="1573"/>
    <cellStyle name="常规 10 6 4 2 2" xfId="1574"/>
    <cellStyle name="常规 10 6 4 3" xfId="1575"/>
    <cellStyle name="常规 10 6 5" xfId="1576"/>
    <cellStyle name="常规 10 6 5 2" xfId="1577"/>
    <cellStyle name="常规 10 6 6" xfId="1579"/>
    <cellStyle name="常规 10 7" xfId="1581"/>
    <cellStyle name="常规 10 7 2" xfId="1583"/>
    <cellStyle name="常规 10 7 2 2" xfId="1585"/>
    <cellStyle name="常规 10 7 2 2 2" xfId="1586"/>
    <cellStyle name="常规 10 7 2 2 2 2" xfId="1587"/>
    <cellStyle name="常规 10 7 2 2 3" xfId="1589"/>
    <cellStyle name="常规 10 7 2 3" xfId="1590"/>
    <cellStyle name="常规 10 7 2 3 2" xfId="1591"/>
    <cellStyle name="常规 10 7 2 4" xfId="1592"/>
    <cellStyle name="常规 10 7 2 4 2" xfId="1593"/>
    <cellStyle name="常规 10 7 2 5" xfId="1595"/>
    <cellStyle name="常规 10 7 3" xfId="1597"/>
    <cellStyle name="常规 10 7 3 2" xfId="1598"/>
    <cellStyle name="常规 10 7 3 2 2" xfId="1599"/>
    <cellStyle name="常规 10 7 3 3" xfId="1600"/>
    <cellStyle name="常规 10 7 3 3 2" xfId="1601"/>
    <cellStyle name="常规 10 7 3 4" xfId="797"/>
    <cellStyle name="常规 10 7 4" xfId="1602"/>
    <cellStyle name="常规 10 7 4 2" xfId="1603"/>
    <cellStyle name="常规 10 7 4 2 2" xfId="1604"/>
    <cellStyle name="常规 10 7 4 3" xfId="1605"/>
    <cellStyle name="常规 10 7 5" xfId="1606"/>
    <cellStyle name="常规 10 7 5 2" xfId="1607"/>
    <cellStyle name="常规 10 7 6" xfId="1609"/>
    <cellStyle name="常规 10 8" xfId="1611"/>
    <cellStyle name="常规 10 8 2" xfId="1613"/>
    <cellStyle name="常规 10 8 2 2" xfId="1614"/>
    <cellStyle name="常规 10 8 2 2 2" xfId="1615"/>
    <cellStyle name="常规 10 8 2 2 2 2" xfId="1617"/>
    <cellStyle name="常规 10 8 2 2 3" xfId="1618"/>
    <cellStyle name="常规 10 8 2 3" xfId="1619"/>
    <cellStyle name="常规 10 8 2 3 2" xfId="1620"/>
    <cellStyle name="常规 10 8 2 4" xfId="1621"/>
    <cellStyle name="常规 10 8 2 4 2" xfId="1622"/>
    <cellStyle name="常规 10 8 2 5" xfId="1623"/>
    <cellStyle name="常规 10 8 3" xfId="1624"/>
    <cellStyle name="常规 10 8 3 2" xfId="1625"/>
    <cellStyle name="常规 10 8 3 2 2" xfId="1626"/>
    <cellStyle name="常规 10 8 3 3" xfId="1628"/>
    <cellStyle name="常规 10 8 3 3 2" xfId="1629"/>
    <cellStyle name="常规 10 8 3 4" xfId="1630"/>
    <cellStyle name="常规 10 8 4" xfId="1631"/>
    <cellStyle name="常规 10 8 4 2" xfId="1343"/>
    <cellStyle name="常规 10 8 4 2 2" xfId="1633"/>
    <cellStyle name="常规 10 8 4 3" xfId="1635"/>
    <cellStyle name="常规 10 8 5" xfId="1636"/>
    <cellStyle name="常规 10 8 5 2" xfId="1637"/>
    <cellStyle name="常规 10 8 6" xfId="1639"/>
    <cellStyle name="常规 10 9" xfId="1641"/>
    <cellStyle name="常规 10 9 2" xfId="1419"/>
    <cellStyle name="常规 10 9 2 2" xfId="68"/>
    <cellStyle name="常规 10 9 2 2 2" xfId="346"/>
    <cellStyle name="常规 10 9 2 2 2 2" xfId="351"/>
    <cellStyle name="常规 10 9 2 2 3" xfId="355"/>
    <cellStyle name="常规 10 9 2 3" xfId="47"/>
    <cellStyle name="常规 10 9 2 3 2" xfId="413"/>
    <cellStyle name="常规 10 9 2 4" xfId="36"/>
    <cellStyle name="常规 10 9 2 4 2" xfId="465"/>
    <cellStyle name="常规 10 9 2 5" xfId="77"/>
    <cellStyle name="常规 10 9 3" xfId="1421"/>
    <cellStyle name="常规 10 9 3 2" xfId="1642"/>
    <cellStyle name="常规 10 9 3 2 2" xfId="1452"/>
    <cellStyle name="常规 10 9 3 3" xfId="1643"/>
    <cellStyle name="常规 10 9 3 3 2" xfId="1540"/>
    <cellStyle name="常规 10 9 3 4" xfId="1644"/>
    <cellStyle name="常规 10 9 4" xfId="1645"/>
    <cellStyle name="常规 10 9 4 2" xfId="1002"/>
    <cellStyle name="常规 10 9 4 2 2" xfId="1647"/>
    <cellStyle name="常规 10 9 4 3" xfId="1648"/>
    <cellStyle name="常规 10 9 5" xfId="1649"/>
    <cellStyle name="常规 10 9 5 2" xfId="1650"/>
    <cellStyle name="常规 10 9 6" xfId="1651"/>
    <cellStyle name="常规 10_2017年人大参阅资料（代表大会-定）1.14" xfId="1652"/>
    <cellStyle name="常规 10_长沙" xfId="1654"/>
    <cellStyle name="常规 11" xfId="1656"/>
    <cellStyle name="常规 11 10" xfId="1657"/>
    <cellStyle name="常规 11 10 2" xfId="1659"/>
    <cellStyle name="常规 11 10 2 2" xfId="1662"/>
    <cellStyle name="常规 11 10 2 2 2" xfId="1664"/>
    <cellStyle name="常规 11 10 2 3" xfId="1666"/>
    <cellStyle name="常规 11 10 3" xfId="1670"/>
    <cellStyle name="常规 11 10 3 2" xfId="1675"/>
    <cellStyle name="常规 11 10 4" xfId="1678"/>
    <cellStyle name="常规 11 10 4 2" xfId="1681"/>
    <cellStyle name="常规 11 10 5" xfId="1684"/>
    <cellStyle name="常规 11 11" xfId="1685"/>
    <cellStyle name="常规 11 11 2" xfId="1687"/>
    <cellStyle name="常规 11 11 2 2" xfId="1690"/>
    <cellStyle name="常规 11 11 3" xfId="1694"/>
    <cellStyle name="常规 11 11 3 2" xfId="1701"/>
    <cellStyle name="常规 11 11 4" xfId="1704"/>
    <cellStyle name="常规 11 12" xfId="1705"/>
    <cellStyle name="常规 11 12 2" xfId="1707"/>
    <cellStyle name="常规 11 12 2 2" xfId="715"/>
    <cellStyle name="常规 11 12 3" xfId="1711"/>
    <cellStyle name="常规 11 13" xfId="1712"/>
    <cellStyle name="常规 11 13 2" xfId="1713"/>
    <cellStyle name="常规 11 14" xfId="1714"/>
    <cellStyle name="常规 11 2" xfId="1715"/>
    <cellStyle name="常规 11 2 2" xfId="1716"/>
    <cellStyle name="常规 11 2 2 2" xfId="1717"/>
    <cellStyle name="常规 11 2 2 2 2" xfId="1718"/>
    <cellStyle name="常规 11 2 2 2 2 2" xfId="1720"/>
    <cellStyle name="常规 11 2 2 2 2 2 2" xfId="1725"/>
    <cellStyle name="常规 11 2 2 2 2 3" xfId="1727"/>
    <cellStyle name="常规 11 2 2 2 3" xfId="1728"/>
    <cellStyle name="常规 11 2 2 2 3 2" xfId="1731"/>
    <cellStyle name="常规 11 2 2 2 4" xfId="1733"/>
    <cellStyle name="常规 11 2 2 2 4 2" xfId="1735"/>
    <cellStyle name="常规 11 2 2 2 5" xfId="1737"/>
    <cellStyle name="常规 11 2 2 3" xfId="1739"/>
    <cellStyle name="常规 11 2 2 3 2" xfId="1740"/>
    <cellStyle name="常规 11 2 2 3 2 2" xfId="1741"/>
    <cellStyle name="常规 11 2 2 3 3" xfId="1742"/>
    <cellStyle name="常规 11 2 2 3 3 2" xfId="1744"/>
    <cellStyle name="常规 11 2 2 3 4" xfId="1746"/>
    <cellStyle name="常规 11 2 2 4" xfId="183"/>
    <cellStyle name="常规 11 2 2 4 2" xfId="191"/>
    <cellStyle name="常规 11 2 2 4 2 2" xfId="1748"/>
    <cellStyle name="常规 11 2 2 4 3" xfId="1749"/>
    <cellStyle name="常规 11 2 2 5" xfId="193"/>
    <cellStyle name="常规 11 2 2 5 2" xfId="601"/>
    <cellStyle name="常规 11 2 2 6" xfId="603"/>
    <cellStyle name="常规 11 2 3" xfId="1753"/>
    <cellStyle name="常规 11 2 3 2" xfId="1754"/>
    <cellStyle name="常规 11 2 3 2 2" xfId="1755"/>
    <cellStyle name="常规 11 2 3 2 2 2" xfId="1756"/>
    <cellStyle name="常规 11 2 3 2 2 2 2" xfId="1757"/>
    <cellStyle name="常规 11 2 3 2 2 3" xfId="1758"/>
    <cellStyle name="常规 11 2 3 2 3" xfId="1759"/>
    <cellStyle name="常规 11 2 3 2 3 2" xfId="1761"/>
    <cellStyle name="常规 11 2 3 2 4" xfId="1763"/>
    <cellStyle name="常规 11 2 3 2 4 2" xfId="1765"/>
    <cellStyle name="常规 11 2 3 2 5" xfId="1767"/>
    <cellStyle name="常规 11 2 3 3" xfId="1769"/>
    <cellStyle name="常规 11 2 3 3 2" xfId="1770"/>
    <cellStyle name="常规 11 2 3 3 2 2" xfId="1771"/>
    <cellStyle name="常规 11 2 3 3 3" xfId="1772"/>
    <cellStyle name="常规 11 2 3 3 3 2" xfId="1774"/>
    <cellStyle name="常规 11 2 3 3 4" xfId="1776"/>
    <cellStyle name="常规 11 2 3 4" xfId="607"/>
    <cellStyle name="常规 11 2 3 4 2" xfId="1778"/>
    <cellStyle name="常规 11 2 3 4 2 2" xfId="1779"/>
    <cellStyle name="常规 11 2 3 4 3" xfId="1782"/>
    <cellStyle name="常规 11 2 3 5" xfId="1784"/>
    <cellStyle name="常规 11 2 3 5 2" xfId="1785"/>
    <cellStyle name="常规 11 2 3 6" xfId="1786"/>
    <cellStyle name="常规 11 2 4" xfId="1787"/>
    <cellStyle name="常规 11 2 4 2" xfId="1788"/>
    <cellStyle name="常规 11 2 4 2 2" xfId="1789"/>
    <cellStyle name="常规 11 2 4 2 2 2" xfId="1791"/>
    <cellStyle name="常规 11 2 4 2 2 2 2" xfId="1793"/>
    <cellStyle name="常规 11 2 4 2 2 3" xfId="1795"/>
    <cellStyle name="常规 11 2 4 2 3" xfId="1796"/>
    <cellStyle name="常规 11 2 4 2 3 2" xfId="1799"/>
    <cellStyle name="常规 11 2 4 2 4" xfId="1801"/>
    <cellStyle name="常规 11 2 4 2 4 2" xfId="1804"/>
    <cellStyle name="常规 11 2 4 2 5" xfId="1806"/>
    <cellStyle name="常规 11 2 4 3" xfId="1808"/>
    <cellStyle name="常规 11 2 4 3 2" xfId="1809"/>
    <cellStyle name="常规 11 2 4 3 2 2" xfId="1810"/>
    <cellStyle name="常规 11 2 4 3 3" xfId="1811"/>
    <cellStyle name="常规 11 2 4 3 3 2" xfId="1813"/>
    <cellStyle name="常规 11 2 4 3 4" xfId="1815"/>
    <cellStyle name="常规 11 2 4 4" xfId="1819"/>
    <cellStyle name="常规 11 2 4 4 2" xfId="1820"/>
    <cellStyle name="常规 11 2 4 4 2 2" xfId="1821"/>
    <cellStyle name="常规 11 2 4 4 3" xfId="1822"/>
    <cellStyle name="常规 11 2 4 5" xfId="1824"/>
    <cellStyle name="常规 11 2 4 5 2" xfId="1825"/>
    <cellStyle name="常规 11 2 4 6" xfId="1827"/>
    <cellStyle name="常规 11 2 5" xfId="1828"/>
    <cellStyle name="常规 11 2 5 2" xfId="1829"/>
    <cellStyle name="常规 11 2 5 2 2" xfId="1830"/>
    <cellStyle name="常规 11 2 5 2 2 2" xfId="170"/>
    <cellStyle name="常规 11 2 5 2 3" xfId="1831"/>
    <cellStyle name="常规 11 2 5 3" xfId="1833"/>
    <cellStyle name="常规 11 2 5 3 2" xfId="1834"/>
    <cellStyle name="常规 11 2 5 4" xfId="1837"/>
    <cellStyle name="常规 11 2 5 4 2" xfId="1838"/>
    <cellStyle name="常规 11 2 5 5" xfId="1839"/>
    <cellStyle name="常规 11 2 6" xfId="1841"/>
    <cellStyle name="常规 11 2 6 2" xfId="1842"/>
    <cellStyle name="常规 11 2 6 2 2" xfId="1843"/>
    <cellStyle name="常规 11 2 6 3" xfId="1844"/>
    <cellStyle name="常规 11 2 6 3 2" xfId="1845"/>
    <cellStyle name="常规 11 2 6 4" xfId="1847"/>
    <cellStyle name="常规 11 2 7" xfId="1848"/>
    <cellStyle name="常规 11 2 7 2" xfId="557"/>
    <cellStyle name="常规 11 2 7 2 2" xfId="1849"/>
    <cellStyle name="常规 11 2 7 3" xfId="456"/>
    <cellStyle name="常规 11 2 8" xfId="1851"/>
    <cellStyle name="常规 11 2 8 2" xfId="1853"/>
    <cellStyle name="常规 11 2 9" xfId="1856"/>
    <cellStyle name="常规 11 2_9、2018年市本级政府预算重点民生项目表" xfId="424"/>
    <cellStyle name="常规 11 3" xfId="1193"/>
    <cellStyle name="常规 11 3 2" xfId="1195"/>
    <cellStyle name="常规 11 3 2 2" xfId="1857"/>
    <cellStyle name="常规 11 3 2 2 2" xfId="1861"/>
    <cellStyle name="常规 11 3 2 2 2 2" xfId="1864"/>
    <cellStyle name="常规 11 3 2 2 2 2 2" xfId="1867"/>
    <cellStyle name="常规 11 3 2 2 2 3" xfId="1870"/>
    <cellStyle name="常规 11 3 2 2 3" xfId="1872"/>
    <cellStyle name="常规 11 3 2 2 3 2" xfId="1876"/>
    <cellStyle name="常规 11 3 2 2 4" xfId="1880"/>
    <cellStyle name="常规 11 3 2 2 4 2" xfId="1884"/>
    <cellStyle name="常规 11 3 2 2 5" xfId="1299"/>
    <cellStyle name="常规 11 3 2 3" xfId="1887"/>
    <cellStyle name="常规 11 3 2 3 2" xfId="1890"/>
    <cellStyle name="常规 11 3 2 3 2 2" xfId="1894"/>
    <cellStyle name="常规 11 3 2 3 3" xfId="1895"/>
    <cellStyle name="常规 11 3 2 3 3 2" xfId="1899"/>
    <cellStyle name="常规 11 3 2 3 4" xfId="1903"/>
    <cellStyle name="常规 11 3 2 4" xfId="625"/>
    <cellStyle name="常规 11 3 2 4 2" xfId="630"/>
    <cellStyle name="常规 11 3 2 4 2 2" xfId="1906"/>
    <cellStyle name="常规 11 3 2 4 3" xfId="1907"/>
    <cellStyle name="常规 11 3 2 5" xfId="79"/>
    <cellStyle name="常规 11 3 2 5 2" xfId="29"/>
    <cellStyle name="常规 11 3 2 6" xfId="615"/>
    <cellStyle name="常规 11 3 3" xfId="1911"/>
    <cellStyle name="常规 11 3 3 2" xfId="1913"/>
    <cellStyle name="常规 11 3 3 2 2" xfId="1916"/>
    <cellStyle name="常规 11 3 3 2 2 2" xfId="1918"/>
    <cellStyle name="常规 11 3 3 2 2 2 2" xfId="1919"/>
    <cellStyle name="常规 11 3 3 2 2 3" xfId="1921"/>
    <cellStyle name="常规 11 3 3 2 3" xfId="1923"/>
    <cellStyle name="常规 11 3 3 2 3 2" xfId="1926"/>
    <cellStyle name="常规 11 3 3 2 4" xfId="1928"/>
    <cellStyle name="常规 11 3 3 2 4 2" xfId="1930"/>
    <cellStyle name="常规 11 3 3 2 5" xfId="1932"/>
    <cellStyle name="常规 11 3 3 3" xfId="1935"/>
    <cellStyle name="常规 11 3 3 3 2" xfId="1938"/>
    <cellStyle name="常规 11 3 3 3 2 2" xfId="1940"/>
    <cellStyle name="常规 11 3 3 3 3" xfId="1943"/>
    <cellStyle name="常规 11 3 3 3 3 2" xfId="1946"/>
    <cellStyle name="常规 11 3 3 3 4" xfId="1948"/>
    <cellStyle name="常规 11 3 3 4" xfId="314"/>
    <cellStyle name="常规 11 3 3 4 2" xfId="1952"/>
    <cellStyle name="常规 11 3 3 4 2 2" xfId="1954"/>
    <cellStyle name="常规 11 3 3 4 3" xfId="1956"/>
    <cellStyle name="常规 11 3 3 5" xfId="1960"/>
    <cellStyle name="常规 11 3 3 5 2" xfId="1963"/>
    <cellStyle name="常规 11 3 3 6" xfId="1966"/>
    <cellStyle name="常规 11 3 4" xfId="1000"/>
    <cellStyle name="常规 11 3 4 2" xfId="1967"/>
    <cellStyle name="常规 11 3 4 2 2" xfId="1968"/>
    <cellStyle name="常规 11 3 4 2 2 2" xfId="835"/>
    <cellStyle name="常规 11 3 4 2 2 2 2" xfId="837"/>
    <cellStyle name="常规 11 3 4 2 2 3" xfId="840"/>
    <cellStyle name="常规 11 3 4 2 3" xfId="1969"/>
    <cellStyle name="常规 11 3 4 2 3 2" xfId="850"/>
    <cellStyle name="常规 11 3 4 2 4" xfId="1971"/>
    <cellStyle name="常规 11 3 4 2 4 2" xfId="1973"/>
    <cellStyle name="常规 11 3 4 2 5" xfId="1975"/>
    <cellStyle name="常规 11 3 4 3" xfId="1977"/>
    <cellStyle name="常规 11 3 4 3 2" xfId="1978"/>
    <cellStyle name="常规 11 3 4 3 2 2" xfId="857"/>
    <cellStyle name="常规 11 3 4 3 3" xfId="1979"/>
    <cellStyle name="常规 11 3 4 3 3 2" xfId="647"/>
    <cellStyle name="常规 11 3 4 3 4" xfId="1981"/>
    <cellStyle name="常规 11 3 4 4" xfId="1985"/>
    <cellStyle name="常规 11 3 4 4 2" xfId="1986"/>
    <cellStyle name="常规 11 3 4 4 2 2" xfId="1987"/>
    <cellStyle name="常规 11 3 4 4 3" xfId="1988"/>
    <cellStyle name="常规 11 3 4 5" xfId="1990"/>
    <cellStyle name="常规 11 3 4 5 2" xfId="1991"/>
    <cellStyle name="常规 11 3 4 6" xfId="1992"/>
    <cellStyle name="常规 11 3 5" xfId="1993"/>
    <cellStyle name="常规 11 3 5 2" xfId="1994"/>
    <cellStyle name="常规 11 3 5 2 2" xfId="1995"/>
    <cellStyle name="常规 11 3 5 2 2 2" xfId="1634"/>
    <cellStyle name="常规 11 3 5 2 3" xfId="1996"/>
    <cellStyle name="常规 11 3 5 3" xfId="1998"/>
    <cellStyle name="常规 11 3 5 3 2" xfId="1999"/>
    <cellStyle name="常规 11 3 5 4" xfId="2002"/>
    <cellStyle name="常规 11 3 5 4 2" xfId="2003"/>
    <cellStyle name="常规 11 3 5 5" xfId="2004"/>
    <cellStyle name="常规 11 3 6" xfId="2006"/>
    <cellStyle name="常规 11 3 6 2" xfId="2007"/>
    <cellStyle name="常规 11 3 6 2 2" xfId="2008"/>
    <cellStyle name="常规 11 3 6 3" xfId="2009"/>
    <cellStyle name="常规 11 3 6 3 2" xfId="2010"/>
    <cellStyle name="常规 11 3 6 4" xfId="273"/>
    <cellStyle name="常规 11 3 7" xfId="2011"/>
    <cellStyle name="常规 11 3 7 2" xfId="2012"/>
    <cellStyle name="常规 11 3 7 2 2" xfId="2013"/>
    <cellStyle name="常规 11 3 7 3" xfId="1384"/>
    <cellStyle name="常规 11 3 8" xfId="2015"/>
    <cellStyle name="常规 11 3 8 2" xfId="2017"/>
    <cellStyle name="常规 11 3 9" xfId="2019"/>
    <cellStyle name="常规 11 4" xfId="1197"/>
    <cellStyle name="常规 11 4 2" xfId="2021"/>
    <cellStyle name="常规 11 4 2 2" xfId="2022"/>
    <cellStyle name="常规 11 4 2 2 2" xfId="1850"/>
    <cellStyle name="常规 11 4 2 2 2 2" xfId="1852"/>
    <cellStyle name="常规 11 4 2 2 2 2 2" xfId="2025"/>
    <cellStyle name="常规 11 4 2 2 2 3" xfId="870"/>
    <cellStyle name="常规 11 4 2 2 3" xfId="1854"/>
    <cellStyle name="常规 11 4 2 2 3 2" xfId="2026"/>
    <cellStyle name="常规 11 4 2 2 4" xfId="33"/>
    <cellStyle name="常规 11 4 2 2 4 2" xfId="2027"/>
    <cellStyle name="常规 11 4 2 2 5" xfId="1331"/>
    <cellStyle name="常规 11 4 2 3" xfId="2028"/>
    <cellStyle name="常规 11 4 2 3 2" xfId="2014"/>
    <cellStyle name="常规 11 4 2 3 2 2" xfId="2016"/>
    <cellStyle name="常规 11 4 2 3 3" xfId="2018"/>
    <cellStyle name="常规 11 4 2 3 3 2" xfId="2030"/>
    <cellStyle name="常规 11 4 2 3 4" xfId="2031"/>
    <cellStyle name="常规 11 4 2 4" xfId="106"/>
    <cellStyle name="常规 11 4 2 4 2" xfId="542"/>
    <cellStyle name="常规 11 4 2 4 2 2" xfId="2033"/>
    <cellStyle name="常规 11 4 2 4 3" xfId="2035"/>
    <cellStyle name="常规 11 4 2 5" xfId="110"/>
    <cellStyle name="常规 11 4 2 5 2" xfId="172"/>
    <cellStyle name="常规 11 4 2 6" xfId="27"/>
    <cellStyle name="常规 11 4 3" xfId="2036"/>
    <cellStyle name="常规 11 4 3 2" xfId="2037"/>
    <cellStyle name="常规 11 4 3 2 2" xfId="2039"/>
    <cellStyle name="常规 11 4 3 2 2 2" xfId="2041"/>
    <cellStyle name="常规 11 4 3 2 2 2 2" xfId="2044"/>
    <cellStyle name="常规 11 4 3 2 2 3" xfId="1509"/>
    <cellStyle name="常规 11 4 3 2 3" xfId="2046"/>
    <cellStyle name="常规 11 4 3 2 3 2" xfId="2047"/>
    <cellStyle name="常规 11 4 3 2 4" xfId="2048"/>
    <cellStyle name="常规 11 4 3 2 4 2" xfId="2049"/>
    <cellStyle name="常规 11 4 3 2 5" xfId="2050"/>
    <cellStyle name="常规 11 4 3 3" xfId="2051"/>
    <cellStyle name="常规 11 4 3 3 2" xfId="2053"/>
    <cellStyle name="常规 11 4 3 3 2 2" xfId="2055"/>
    <cellStyle name="常规 11 4 3 3 3" xfId="2057"/>
    <cellStyle name="常规 11 4 3 3 3 2" xfId="2058"/>
    <cellStyle name="常规 11 4 3 3 4" xfId="2059"/>
    <cellStyle name="常规 11 4 3 4" xfId="490"/>
    <cellStyle name="常规 11 4 3 4 2" xfId="2061"/>
    <cellStyle name="常规 11 4 3 4 2 2" xfId="2065"/>
    <cellStyle name="常规 11 4 3 4 3" xfId="2067"/>
    <cellStyle name="常规 11 4 3 5" xfId="2068"/>
    <cellStyle name="常规 11 4 3 5 2" xfId="2070"/>
    <cellStyle name="常规 11 4 3 6" xfId="2071"/>
    <cellStyle name="常规 11 4 4" xfId="1646"/>
    <cellStyle name="常规 11 4 4 2" xfId="2072"/>
    <cellStyle name="常规 11 4 4 2 2" xfId="1033"/>
    <cellStyle name="常规 11 4 4 2 2 2" xfId="1035"/>
    <cellStyle name="常规 11 4 4 2 2 2 2" xfId="2073"/>
    <cellStyle name="常规 11 4 4 2 2 3" xfId="1037"/>
    <cellStyle name="常规 11 4 4 2 3" xfId="2074"/>
    <cellStyle name="常规 11 4 4 2 3 2" xfId="2075"/>
    <cellStyle name="常规 11 4 4 2 4" xfId="2076"/>
    <cellStyle name="常规 11 4 4 2 4 2" xfId="2077"/>
    <cellStyle name="常规 11 4 4 2 5" xfId="2078"/>
    <cellStyle name="常规 11 4 4 3" xfId="2079"/>
    <cellStyle name="常规 11 4 4 3 2" xfId="2080"/>
    <cellStyle name="常规 11 4 4 3 2 2" xfId="2082"/>
    <cellStyle name="常规 11 4 4 3 3" xfId="2083"/>
    <cellStyle name="常规 11 4 4 3 3 2" xfId="2084"/>
    <cellStyle name="常规 11 4 4 3 4" xfId="2085"/>
    <cellStyle name="常规 11 4 4 4" xfId="2086"/>
    <cellStyle name="常规 11 4 4 4 2" xfId="2087"/>
    <cellStyle name="常规 11 4 4 4 2 2" xfId="2088"/>
    <cellStyle name="常规 11 4 4 4 3" xfId="2089"/>
    <cellStyle name="常规 11 4 4 5" xfId="2090"/>
    <cellStyle name="常规 11 4 4 5 2" xfId="2092"/>
    <cellStyle name="常规 11 4 4 6" xfId="2093"/>
    <cellStyle name="常规 11 4 5" xfId="2094"/>
    <cellStyle name="常规 11 4 5 2" xfId="2096"/>
    <cellStyle name="常规 11 4 5 2 2" xfId="2098"/>
    <cellStyle name="常规 11 4 5 2 2 2" xfId="2100"/>
    <cellStyle name="常规 11 4 5 2 3" xfId="2102"/>
    <cellStyle name="常规 11 4 5 3" xfId="2103"/>
    <cellStyle name="常规 11 4 5 3 2" xfId="2104"/>
    <cellStyle name="常规 11 4 5 4" xfId="2106"/>
    <cellStyle name="常规 11 4 5 4 2" xfId="2108"/>
    <cellStyle name="常规 11 4 5 5" xfId="2111"/>
    <cellStyle name="常规 11 4 6" xfId="2112"/>
    <cellStyle name="常规 11 4 6 2" xfId="2113"/>
    <cellStyle name="常规 11 4 6 2 2" xfId="2114"/>
    <cellStyle name="常规 11 4 6 3" xfId="2115"/>
    <cellStyle name="常规 11 4 6 3 2" xfId="2116"/>
    <cellStyle name="常规 11 4 6 4" xfId="2118"/>
    <cellStyle name="常规 11 4 7" xfId="2119"/>
    <cellStyle name="常规 11 4 7 2" xfId="2120"/>
    <cellStyle name="常规 11 4 7 2 2" xfId="2121"/>
    <cellStyle name="常规 11 4 7 3" xfId="2122"/>
    <cellStyle name="常规 11 4 8" xfId="541"/>
    <cellStyle name="常规 11 4 8 2" xfId="2032"/>
    <cellStyle name="常规 11 4 9" xfId="2034"/>
    <cellStyle name="常规 11 5" xfId="168"/>
    <cellStyle name="常规 11 5 2" xfId="2123"/>
    <cellStyle name="常规 11 5 2 2" xfId="2124"/>
    <cellStyle name="常规 11 5 2 2 2" xfId="2125"/>
    <cellStyle name="常规 11 5 2 2 2 2" xfId="2127"/>
    <cellStyle name="常规 11 5 2 2 3" xfId="2128"/>
    <cellStyle name="常规 11 5 2 3" xfId="2130"/>
    <cellStyle name="常规 11 5 2 3 2" xfId="2131"/>
    <cellStyle name="常规 11 5 2 4" xfId="696"/>
    <cellStyle name="常规 11 5 2 4 2" xfId="700"/>
    <cellStyle name="常规 11 5 2 5" xfId="703"/>
    <cellStyle name="常规 11 5 3" xfId="2132"/>
    <cellStyle name="常规 11 5 3 2" xfId="2133"/>
    <cellStyle name="常规 11 5 3 2 2" xfId="18"/>
    <cellStyle name="常规 11 5 3 3" xfId="2134"/>
    <cellStyle name="常规 11 5 3 3 2" xfId="855"/>
    <cellStyle name="常规 11 5 3 4" xfId="519"/>
    <cellStyle name="常规 11 5 4" xfId="2135"/>
    <cellStyle name="常规 11 5 4 2" xfId="2136"/>
    <cellStyle name="常规 11 5 4 2 2" xfId="2137"/>
    <cellStyle name="常规 11 5 4 3" xfId="2138"/>
    <cellStyle name="常规 11 5 5" xfId="1101"/>
    <cellStyle name="常规 11 5 5 2" xfId="1103"/>
    <cellStyle name="常规 11 5 6" xfId="1108"/>
    <cellStyle name="常规 11 6" xfId="2139"/>
    <cellStyle name="常规 11 6 2" xfId="2140"/>
    <cellStyle name="常规 11 6 2 2" xfId="2141"/>
    <cellStyle name="常规 11 6 2 2 2" xfId="2142"/>
    <cellStyle name="常规 11 6 2 2 2 2" xfId="2144"/>
    <cellStyle name="常规 11 6 2 2 3" xfId="2146"/>
    <cellStyle name="常规 11 6 2 3" xfId="2148"/>
    <cellStyle name="常规 11 6 2 3 2" xfId="2150"/>
    <cellStyle name="常规 11 6 2 4" xfId="740"/>
    <cellStyle name="常规 11 6 2 4 2" xfId="744"/>
    <cellStyle name="常规 11 6 2 5" xfId="745"/>
    <cellStyle name="常规 11 6 3" xfId="2151"/>
    <cellStyle name="常规 11 6 3 2" xfId="2152"/>
    <cellStyle name="常规 11 6 3 2 2" xfId="2153"/>
    <cellStyle name="常规 11 6 3 3" xfId="2154"/>
    <cellStyle name="常规 11 6 3 3 2" xfId="2156"/>
    <cellStyle name="常规 11 6 3 4" xfId="41"/>
    <cellStyle name="常规 11 6 4" xfId="2157"/>
    <cellStyle name="常规 11 6 4 2" xfId="2158"/>
    <cellStyle name="常规 11 6 4 2 2" xfId="2159"/>
    <cellStyle name="常规 11 6 4 3" xfId="2160"/>
    <cellStyle name="常规 11 6 5" xfId="1118"/>
    <cellStyle name="常规 11 6 5 2" xfId="1120"/>
    <cellStyle name="常规 11 6 6" xfId="1123"/>
    <cellStyle name="常规 11 7" xfId="2162"/>
    <cellStyle name="常规 11 7 2" xfId="1011"/>
    <cellStyle name="常规 11 7 2 2" xfId="97"/>
    <cellStyle name="常规 11 7 2 2 2" xfId="2164"/>
    <cellStyle name="常规 11 7 2 2 2 2" xfId="2167"/>
    <cellStyle name="常规 11 7 2 2 3" xfId="2170"/>
    <cellStyle name="常规 11 7 2 3" xfId="2172"/>
    <cellStyle name="常规 11 7 2 3 2" xfId="2173"/>
    <cellStyle name="常规 11 7 2 4" xfId="2175"/>
    <cellStyle name="常规 11 7 2 4 2" xfId="2177"/>
    <cellStyle name="常规 11 7 2 5" xfId="2179"/>
    <cellStyle name="常规 11 7 3" xfId="1013"/>
    <cellStyle name="常规 11 7 3 2" xfId="892"/>
    <cellStyle name="常规 11 7 3 2 2" xfId="894"/>
    <cellStyle name="常规 11 7 3 3" xfId="133"/>
    <cellStyle name="常规 11 7 3 3 2" xfId="896"/>
    <cellStyle name="常规 11 7 3 4" xfId="809"/>
    <cellStyle name="常规 11 7 4" xfId="2180"/>
    <cellStyle name="常规 11 7 4 2" xfId="2181"/>
    <cellStyle name="常规 11 7 4 2 2" xfId="2182"/>
    <cellStyle name="常规 11 7 4 3" xfId="2183"/>
    <cellStyle name="常规 11 7 5" xfId="1128"/>
    <cellStyle name="常规 11 7 5 2" xfId="1130"/>
    <cellStyle name="常规 11 7 6" xfId="1133"/>
    <cellStyle name="常规 11 8" xfId="2185"/>
    <cellStyle name="常规 11 8 2" xfId="1019"/>
    <cellStyle name="常规 11 8 2 2" xfId="1021"/>
    <cellStyle name="常规 11 8 2 2 2" xfId="2186"/>
    <cellStyle name="常规 11 8 2 2 2 2" xfId="2187"/>
    <cellStyle name="常规 11 8 2 2 3" xfId="2188"/>
    <cellStyle name="常规 11 8 2 3" xfId="2190"/>
    <cellStyle name="常规 11 8 2 3 2" xfId="2191"/>
    <cellStyle name="常规 11 8 2 4" xfId="2193"/>
    <cellStyle name="常规 11 8 2 4 2" xfId="2196"/>
    <cellStyle name="常规 11 8 2 5" xfId="2198"/>
    <cellStyle name="常规 11 8 3" xfId="1023"/>
    <cellStyle name="常规 11 8 3 2" xfId="142"/>
    <cellStyle name="常规 11 8 3 2 2" xfId="2199"/>
    <cellStyle name="常规 11 8 3 3" xfId="2200"/>
    <cellStyle name="常规 11 8 3 3 2" xfId="2201"/>
    <cellStyle name="常规 11 8 3 4" xfId="2202"/>
    <cellStyle name="常规 11 8 4" xfId="2203"/>
    <cellStyle name="常规 11 8 4 2" xfId="277"/>
    <cellStyle name="常规 11 8 4 2 2" xfId="2204"/>
    <cellStyle name="常规 11 8 4 3" xfId="2205"/>
    <cellStyle name="常规 11 8 5" xfId="1136"/>
    <cellStyle name="常规 11 8 5 2" xfId="358"/>
    <cellStyle name="常规 11 8 6" xfId="2207"/>
    <cellStyle name="常规 11 9" xfId="2209"/>
    <cellStyle name="常规 11 9 2" xfId="1531"/>
    <cellStyle name="常规 11 9 2 2" xfId="2210"/>
    <cellStyle name="常规 11 9 2 2 2" xfId="2211"/>
    <cellStyle name="常规 11 9 2 2 2 2" xfId="2214"/>
    <cellStyle name="常规 11 9 2 2 3" xfId="2215"/>
    <cellStyle name="常规 11 9 2 3" xfId="2217"/>
    <cellStyle name="常规 11 9 2 3 2" xfId="2218"/>
    <cellStyle name="常规 11 9 2 4" xfId="2219"/>
    <cellStyle name="常规 11 9 2 4 2" xfId="762"/>
    <cellStyle name="常规 11 9 2 5" xfId="2220"/>
    <cellStyle name="常规 11 9 3" xfId="2221"/>
    <cellStyle name="常规 11 9 3 2" xfId="2223"/>
    <cellStyle name="常规 11 9 3 2 2" xfId="2224"/>
    <cellStyle name="常规 11 9 3 3" xfId="2225"/>
    <cellStyle name="常规 11 9 3 3 2" xfId="2226"/>
    <cellStyle name="常规 11 9 3 4" xfId="2227"/>
    <cellStyle name="常规 11 9 4" xfId="2228"/>
    <cellStyle name="常规 11 9 4 2" xfId="1088"/>
    <cellStyle name="常规 11 9 4 2 2" xfId="1090"/>
    <cellStyle name="常规 11 9 4 3" xfId="2229"/>
    <cellStyle name="常规 11 9 5" xfId="2230"/>
    <cellStyle name="常规 11 9 5 2" xfId="2232"/>
    <cellStyle name="常规 11 9 6" xfId="2233"/>
    <cellStyle name="常规 11_9、2018年市本级政府预算重点民生项目表" xfId="2234"/>
    <cellStyle name="常规 12" xfId="2238"/>
    <cellStyle name="常规 12 10" xfId="2239"/>
    <cellStyle name="常规 12 10 2" xfId="92"/>
    <cellStyle name="常规 12 10 2 2" xfId="805"/>
    <cellStyle name="常规 12 10 2 2 2" xfId="2240"/>
    <cellStyle name="常规 12 10 2 3" xfId="2242"/>
    <cellStyle name="常规 12 10 3" xfId="217"/>
    <cellStyle name="常规 12 10 3 2" xfId="74"/>
    <cellStyle name="常规 12 10 4" xfId="2244"/>
    <cellStyle name="常规 12 10 4 2" xfId="2245"/>
    <cellStyle name="常规 12 10 5" xfId="2246"/>
    <cellStyle name="常规 12 11" xfId="2248"/>
    <cellStyle name="常规 12 11 2" xfId="811"/>
    <cellStyle name="常规 12 11 2 2" xfId="816"/>
    <cellStyle name="常规 12 11 3" xfId="823"/>
    <cellStyle name="常规 12 11 3 2" xfId="409"/>
    <cellStyle name="常规 12 11 4" xfId="1858"/>
    <cellStyle name="常规 12 12" xfId="2250"/>
    <cellStyle name="常规 12 12 2" xfId="2252"/>
    <cellStyle name="常规 12 12 2 2" xfId="2256"/>
    <cellStyle name="常规 12 12 3" xfId="2259"/>
    <cellStyle name="常规 12 13" xfId="2262"/>
    <cellStyle name="常规 12 13 2" xfId="2264"/>
    <cellStyle name="常规 12 14" xfId="2266"/>
    <cellStyle name="常规 12 2" xfId="2267"/>
    <cellStyle name="常规 12 2 2" xfId="2268"/>
    <cellStyle name="常规 12 2 2 2" xfId="2269"/>
    <cellStyle name="常规 12 2 2 2 2" xfId="2271"/>
    <cellStyle name="常规 12 2 2 2 2 2" xfId="2273"/>
    <cellStyle name="常规 12 2 2 2 2 2 2" xfId="874"/>
    <cellStyle name="常规 12 2 2 2 2 3" xfId="2274"/>
    <cellStyle name="常规 12 2 2 2 3" xfId="2276"/>
    <cellStyle name="常规 12 2 2 2 3 2" xfId="2278"/>
    <cellStyle name="常规 12 2 2 2 4" xfId="2279"/>
    <cellStyle name="常规 12 2 2 2 4 2" xfId="2281"/>
    <cellStyle name="常规 12 2 2 2 5" xfId="2282"/>
    <cellStyle name="常规 12 2 2 3" xfId="2284"/>
    <cellStyle name="常规 12 2 2 3 2" xfId="2287"/>
    <cellStyle name="常规 12 2 2 3 2 2" xfId="2289"/>
    <cellStyle name="常规 12 2 2 3 3" xfId="2291"/>
    <cellStyle name="常规 12 2 2 3 3 2" xfId="2293"/>
    <cellStyle name="常规 12 2 2 3 4" xfId="2294"/>
    <cellStyle name="常规 12 2 2 4" xfId="2295"/>
    <cellStyle name="常规 12 2 2 4 2" xfId="2297"/>
    <cellStyle name="常规 12 2 2 4 2 2" xfId="2299"/>
    <cellStyle name="常规 12 2 2 4 3" xfId="2300"/>
    <cellStyle name="常规 12 2 2 5" xfId="2301"/>
    <cellStyle name="常规 12 2 2 5 2" xfId="103"/>
    <cellStyle name="常规 12 2 2 6" xfId="2302"/>
    <cellStyle name="常规 12 2 3" xfId="2303"/>
    <cellStyle name="常规 12 2 3 2" xfId="2304"/>
    <cellStyle name="常规 12 2 3 2 2" xfId="2305"/>
    <cellStyle name="常规 12 2 3 2 2 2" xfId="2306"/>
    <cellStyle name="常规 12 2 3 2 2 2 2" xfId="2307"/>
    <cellStyle name="常规 12 2 3 2 2 3" xfId="2308"/>
    <cellStyle name="常规 12 2 3 2 3" xfId="2310"/>
    <cellStyle name="常规 12 2 3 2 3 2" xfId="2312"/>
    <cellStyle name="常规 12 2 3 2 4" xfId="2277"/>
    <cellStyle name="常规 12 2 3 2 4 2" xfId="2314"/>
    <cellStyle name="常规 12 2 3 2 5" xfId="1616"/>
    <cellStyle name="常规 12 2 3 3" xfId="475"/>
    <cellStyle name="常规 12 2 3 3 2" xfId="2316"/>
    <cellStyle name="常规 12 2 3 3 2 2" xfId="1310"/>
    <cellStyle name="常规 12 2 3 3 3" xfId="2319"/>
    <cellStyle name="常规 12 2 3 3 3 2" xfId="1424"/>
    <cellStyle name="常规 12 2 3 3 4" xfId="2280"/>
    <cellStyle name="常规 12 2 3 4" xfId="2320"/>
    <cellStyle name="常规 12 2 3 4 2" xfId="2323"/>
    <cellStyle name="常规 12 2 3 4 2 2" xfId="1910"/>
    <cellStyle name="常规 12 2 3 4 3" xfId="2325"/>
    <cellStyle name="常规 12 2 3 5" xfId="2326"/>
    <cellStyle name="常规 12 2 3 5 2" xfId="2327"/>
    <cellStyle name="常规 12 2 3 6" xfId="1893"/>
    <cellStyle name="常规 12 2 4" xfId="2328"/>
    <cellStyle name="常规 12 2 4 2" xfId="2329"/>
    <cellStyle name="常规 12 2 4 2 2" xfId="2330"/>
    <cellStyle name="常规 12 2 4 2 2 2" xfId="2331"/>
    <cellStyle name="常规 12 2 4 2 2 2 2" xfId="2332"/>
    <cellStyle name="常规 12 2 4 2 2 3" xfId="2333"/>
    <cellStyle name="常规 12 2 4 2 3" xfId="2334"/>
    <cellStyle name="常规 12 2 4 2 3 2" xfId="2336"/>
    <cellStyle name="常规 12 2 4 2 4" xfId="2292"/>
    <cellStyle name="常规 12 2 4 2 4 2" xfId="2338"/>
    <cellStyle name="常规 12 2 4 2 5" xfId="1627"/>
    <cellStyle name="常规 12 2 4 3" xfId="2339"/>
    <cellStyle name="常规 12 2 4 3 2" xfId="2341"/>
    <cellStyle name="常规 12 2 4 3 2 2" xfId="2343"/>
    <cellStyle name="常规 12 2 4 3 3" xfId="2346"/>
    <cellStyle name="常规 12 2 4 3 3 2" xfId="2348"/>
    <cellStyle name="常规 12 2 4 3 4" xfId="2349"/>
    <cellStyle name="常规 12 2 4 4" xfId="2351"/>
    <cellStyle name="常规 12 2 4 4 2" xfId="2354"/>
    <cellStyle name="常规 12 2 4 4 2 2" xfId="2355"/>
    <cellStyle name="常规 12 2 4 4 3" xfId="2356"/>
    <cellStyle name="常规 12 2 4 5" xfId="2357"/>
    <cellStyle name="常规 12 2 4 5 2" xfId="2358"/>
    <cellStyle name="常规 12 2 4 6" xfId="1902"/>
    <cellStyle name="常规 12 2 5" xfId="123"/>
    <cellStyle name="常规 12 2 5 2" xfId="2359"/>
    <cellStyle name="常规 12 2 5 2 2" xfId="2361"/>
    <cellStyle name="常规 12 2 5 2 2 2" xfId="2364"/>
    <cellStyle name="常规 12 2 5 2 3" xfId="2366"/>
    <cellStyle name="常规 12 2 5 3" xfId="2367"/>
    <cellStyle name="常规 12 2 5 3 2" xfId="2369"/>
    <cellStyle name="常规 12 2 5 4" xfId="2371"/>
    <cellStyle name="常规 12 2 5 4 2" xfId="2375"/>
    <cellStyle name="常规 12 2 5 5" xfId="2376"/>
    <cellStyle name="常规 12 2 6" xfId="2377"/>
    <cellStyle name="常规 12 2 6 2" xfId="594"/>
    <cellStyle name="常规 12 2 6 2 2" xfId="2379"/>
    <cellStyle name="常规 12 2 6 3" xfId="2380"/>
    <cellStyle name="常规 12 2 6 3 2" xfId="2382"/>
    <cellStyle name="常规 12 2 6 4" xfId="2383"/>
    <cellStyle name="常规 12 2 7" xfId="2384"/>
    <cellStyle name="常规 12 2 7 2" xfId="2386"/>
    <cellStyle name="常规 12 2 7 2 2" xfId="2391"/>
    <cellStyle name="常规 12 2 7 3" xfId="1506"/>
    <cellStyle name="常规 12 2 8" xfId="2038"/>
    <cellStyle name="常规 12 2 8 2" xfId="2040"/>
    <cellStyle name="常规 12 2 9" xfId="2045"/>
    <cellStyle name="常规 12 2_9、2018年市本级政府预算重点民生项目表" xfId="2393"/>
    <cellStyle name="常规 12 3" xfId="1201"/>
    <cellStyle name="常规 12 3 2" xfId="2394"/>
    <cellStyle name="常规 12 3 2 2" xfId="2395"/>
    <cellStyle name="常规 12 3 2 2 2" xfId="9"/>
    <cellStyle name="常规 12 3 2 2 2 2" xfId="2399"/>
    <cellStyle name="常规 12 3 2 2 2 2 2" xfId="2400"/>
    <cellStyle name="常规 12 3 2 2 2 3" xfId="2401"/>
    <cellStyle name="常规 12 3 2 2 3" xfId="555"/>
    <cellStyle name="常规 12 3 2 2 3 2" xfId="2404"/>
    <cellStyle name="常规 12 3 2 2 4" xfId="2407"/>
    <cellStyle name="常规 12 3 2 2 4 2" xfId="2410"/>
    <cellStyle name="常规 12 3 2 2 5" xfId="1415"/>
    <cellStyle name="常规 12 3 2 3" xfId="2411"/>
    <cellStyle name="常规 12 3 2 3 2" xfId="2413"/>
    <cellStyle name="常规 12 3 2 3 2 2" xfId="2414"/>
    <cellStyle name="常规 12 3 2 3 3" xfId="2415"/>
    <cellStyle name="常规 12 3 2 3 3 2" xfId="2416"/>
    <cellStyle name="常规 12 3 2 3 4" xfId="875"/>
    <cellStyle name="常规 12 3 2 4" xfId="2417"/>
    <cellStyle name="常规 12 3 2 4 2" xfId="2418"/>
    <cellStyle name="常规 12 3 2 4 2 2" xfId="2419"/>
    <cellStyle name="常规 12 3 2 4 3" xfId="2420"/>
    <cellStyle name="常规 12 3 2 5" xfId="2422"/>
    <cellStyle name="常规 12 3 2 5 2" xfId="2423"/>
    <cellStyle name="常规 12 3 2 6" xfId="2424"/>
    <cellStyle name="常规 12 3 3" xfId="2425"/>
    <cellStyle name="常规 12 3 3 2" xfId="1729"/>
    <cellStyle name="常规 12 3 3 2 2" xfId="1732"/>
    <cellStyle name="常规 12 3 3 2 2 2" xfId="2429"/>
    <cellStyle name="常规 12 3 3 2 2 2 2" xfId="2431"/>
    <cellStyle name="常规 12 3 3 2 2 3" xfId="2433"/>
    <cellStyle name="常规 12 3 3 2 3" xfId="2435"/>
    <cellStyle name="常规 12 3 3 2 3 2" xfId="2437"/>
    <cellStyle name="常规 12 3 3 2 4" xfId="2311"/>
    <cellStyle name="常规 12 3 3 2 4 2" xfId="2438"/>
    <cellStyle name="常规 12 3 3 2 5" xfId="347"/>
    <cellStyle name="常规 12 3 3 3" xfId="1734"/>
    <cellStyle name="常规 12 3 3 3 2" xfId="1736"/>
    <cellStyle name="常规 12 3 3 3 2 2" xfId="2440"/>
    <cellStyle name="常规 12 3 3 3 3" xfId="2441"/>
    <cellStyle name="常规 12 3 3 3 3 2" xfId="2442"/>
    <cellStyle name="常规 12 3 3 3 4" xfId="2313"/>
    <cellStyle name="常规 12 3 3 4" xfId="1738"/>
    <cellStyle name="常规 12 3 3 4 2" xfId="2445"/>
    <cellStyle name="常规 12 3 3 4 2 2" xfId="2446"/>
    <cellStyle name="常规 12 3 3 4 3" xfId="2447"/>
    <cellStyle name="常规 12 3 3 5" xfId="2449"/>
    <cellStyle name="常规 12 3 3 5 2" xfId="2450"/>
    <cellStyle name="常规 12 3 3 6" xfId="1905"/>
    <cellStyle name="常规 12 3 4" xfId="2451"/>
    <cellStyle name="常规 12 3 4 2" xfId="1743"/>
    <cellStyle name="常规 12 3 4 2 2" xfId="1745"/>
    <cellStyle name="常规 12 3 4 2 2 2" xfId="2453"/>
    <cellStyle name="常规 12 3 4 2 2 2 2" xfId="2454"/>
    <cellStyle name="常规 12 3 4 2 2 3" xfId="2455"/>
    <cellStyle name="常规 12 3 4 2 3" xfId="1392"/>
    <cellStyle name="常规 12 3 4 2 3 2" xfId="1394"/>
    <cellStyle name="常规 12 3 4 2 4" xfId="1423"/>
    <cellStyle name="常规 12 3 4 2 4 2" xfId="1426"/>
    <cellStyle name="常规 12 3 4 2 5" xfId="1453"/>
    <cellStyle name="常规 12 3 4 3" xfId="1747"/>
    <cellStyle name="常规 12 3 4 3 2" xfId="2456"/>
    <cellStyle name="常规 12 3 4 3 2 2" xfId="2458"/>
    <cellStyle name="常规 12 3 4 3 3" xfId="1520"/>
    <cellStyle name="常规 12 3 4 3 3 2" xfId="1522"/>
    <cellStyle name="常规 12 3 4 3 4" xfId="1533"/>
    <cellStyle name="常规 12 3 4 4" xfId="2460"/>
    <cellStyle name="常规 12 3 4 4 2" xfId="2462"/>
    <cellStyle name="常规 12 3 4 4 2 2" xfId="2463"/>
    <cellStyle name="常规 12 3 4 4 3" xfId="1553"/>
    <cellStyle name="常规 12 3 4 5" xfId="2464"/>
    <cellStyle name="常规 12 3 4 5 2" xfId="2465"/>
    <cellStyle name="常规 12 3 4 6" xfId="2467"/>
    <cellStyle name="常规 12 3 5" xfId="56"/>
    <cellStyle name="常规 12 3 5 2" xfId="1750"/>
    <cellStyle name="常规 12 3 5 2 2" xfId="2468"/>
    <cellStyle name="常规 12 3 5 2 2 2" xfId="2470"/>
    <cellStyle name="常规 12 3 5 2 3" xfId="2020"/>
    <cellStyle name="常规 12 3 5 3" xfId="2471"/>
    <cellStyle name="常规 12 3 5 3 2" xfId="2472"/>
    <cellStyle name="常规 12 3 5 4" xfId="2473"/>
    <cellStyle name="常规 12 3 5 4 2" xfId="2476"/>
    <cellStyle name="常规 12 3 5 5" xfId="1006"/>
    <cellStyle name="常规 12 3 6" xfId="2477"/>
    <cellStyle name="常规 12 3 6 2" xfId="2478"/>
    <cellStyle name="常规 12 3 6 2 2" xfId="2479"/>
    <cellStyle name="常规 12 3 6 3" xfId="2480"/>
    <cellStyle name="常规 12 3 6 3 2" xfId="2481"/>
    <cellStyle name="常规 12 3 6 4" xfId="2482"/>
    <cellStyle name="常规 12 3 7" xfId="2483"/>
    <cellStyle name="常规 12 3 7 2" xfId="2484"/>
    <cellStyle name="常规 12 3 7 2 2" xfId="2485"/>
    <cellStyle name="常规 12 3 7 3" xfId="1514"/>
    <cellStyle name="常规 12 3 8" xfId="2052"/>
    <cellStyle name="常规 12 3 8 2" xfId="2054"/>
    <cellStyle name="常规 12 3 9" xfId="2056"/>
    <cellStyle name="常规 12 4" xfId="158"/>
    <cellStyle name="常规 12 4 2" xfId="2486"/>
    <cellStyle name="常规 12 4 2 2" xfId="2487"/>
    <cellStyle name="常规 12 4 2 2 2" xfId="2490"/>
    <cellStyle name="常规 12 4 2 2 2 2" xfId="2492"/>
    <cellStyle name="常规 12 4 2 2 2 2 2" xfId="2494"/>
    <cellStyle name="常规 12 4 2 2 2 3" xfId="2495"/>
    <cellStyle name="常规 12 4 2 2 3" xfId="2497"/>
    <cellStyle name="常规 12 4 2 2 3 2" xfId="2498"/>
    <cellStyle name="常规 12 4 2 2 4" xfId="2499"/>
    <cellStyle name="常规 12 4 2 2 4 2" xfId="2500"/>
    <cellStyle name="常规 12 4 2 2 5" xfId="1445"/>
    <cellStyle name="常规 12 4 2 3" xfId="2501"/>
    <cellStyle name="常规 12 4 2 3 2" xfId="2504"/>
    <cellStyle name="常规 12 4 2 3 2 2" xfId="2505"/>
    <cellStyle name="常规 12 4 2 3 3" xfId="2506"/>
    <cellStyle name="常规 12 4 2 3 3 2" xfId="2507"/>
    <cellStyle name="常规 12 4 2 3 4" xfId="2508"/>
    <cellStyle name="常规 12 4 2 4" xfId="2509"/>
    <cellStyle name="常规 12 4 2 4 2" xfId="2510"/>
    <cellStyle name="常规 12 4 2 4 2 2" xfId="2511"/>
    <cellStyle name="常规 12 4 2 4 3" xfId="2512"/>
    <cellStyle name="常规 12 4 2 5" xfId="2515"/>
    <cellStyle name="常规 12 4 2 5 2" xfId="2516"/>
    <cellStyle name="常规 12 4 2 6" xfId="175"/>
    <cellStyle name="常规 12 4 3" xfId="2517"/>
    <cellStyle name="常规 12 4 3 2" xfId="1760"/>
    <cellStyle name="常规 12 4 3 2 2" xfId="1762"/>
    <cellStyle name="常规 12 4 3 2 2 2" xfId="912"/>
    <cellStyle name="常规 12 4 3 2 2 2 2" xfId="196"/>
    <cellStyle name="常规 12 4 3 2 2 3" xfId="917"/>
    <cellStyle name="常规 12 4 3 2 3" xfId="2518"/>
    <cellStyle name="常规 12 4 3 2 3 2" xfId="936"/>
    <cellStyle name="常规 12 4 3 2 4" xfId="2335"/>
    <cellStyle name="常规 12 4 3 2 4 2" xfId="959"/>
    <cellStyle name="常规 12 4 3 2 5" xfId="2519"/>
    <cellStyle name="常规 12 4 3 3" xfId="1764"/>
    <cellStyle name="常规 12 4 3 3 2" xfId="1766"/>
    <cellStyle name="常规 12 4 3 3 2 2" xfId="2520"/>
    <cellStyle name="常规 12 4 3 3 3" xfId="2521"/>
    <cellStyle name="常规 12 4 3 3 3 2" xfId="2522"/>
    <cellStyle name="常规 12 4 3 3 4" xfId="2337"/>
    <cellStyle name="常规 12 4 3 4" xfId="1768"/>
    <cellStyle name="常规 12 4 3 4 2" xfId="2524"/>
    <cellStyle name="常规 12 4 3 4 2 2" xfId="2525"/>
    <cellStyle name="常规 12 4 3 4 3" xfId="2526"/>
    <cellStyle name="常规 12 4 3 5" xfId="2527"/>
    <cellStyle name="常规 12 4 3 5 2" xfId="2528"/>
    <cellStyle name="常规 12 4 3 6" xfId="160"/>
    <cellStyle name="常规 12 4 4" xfId="2529"/>
    <cellStyle name="常规 12 4 4 2" xfId="1773"/>
    <cellStyle name="常规 12 4 4 2 2" xfId="1775"/>
    <cellStyle name="常规 12 4 4 2 2 2" xfId="2530"/>
    <cellStyle name="常规 12 4 4 2 2 2 2" xfId="2532"/>
    <cellStyle name="常规 12 4 4 2 2 3" xfId="2534"/>
    <cellStyle name="常规 12 4 4 2 3" xfId="2535"/>
    <cellStyle name="常规 12 4 4 2 3 2" xfId="2536"/>
    <cellStyle name="常规 12 4 4 2 4" xfId="2347"/>
    <cellStyle name="常规 12 4 4 2 4 2" xfId="2537"/>
    <cellStyle name="常规 12 4 4 2 5" xfId="2538"/>
    <cellStyle name="常规 12 4 4 3" xfId="1777"/>
    <cellStyle name="常规 12 4 4 3 2" xfId="2539"/>
    <cellStyle name="常规 12 4 4 3 2 2" xfId="2540"/>
    <cellStyle name="常规 12 4 4 3 3" xfId="2541"/>
    <cellStyle name="常规 12 4 4 3 3 2" xfId="2542"/>
    <cellStyle name="常规 12 4 4 3 4" xfId="2543"/>
    <cellStyle name="常规 12 4 4 4" xfId="2544"/>
    <cellStyle name="常规 12 4 4 4 2" xfId="2546"/>
    <cellStyle name="常规 12 4 4 4 2 2" xfId="2549"/>
    <cellStyle name="常规 12 4 4 4 3" xfId="2550"/>
    <cellStyle name="常规 12 4 4 5" xfId="2551"/>
    <cellStyle name="常规 12 4 4 5 2" xfId="2552"/>
    <cellStyle name="常规 12 4 4 6" xfId="85"/>
    <cellStyle name="常规 12 4 5" xfId="2556"/>
    <cellStyle name="常规 12 4 5 2" xfId="1783"/>
    <cellStyle name="常规 12 4 5 2 2" xfId="2557"/>
    <cellStyle name="常规 12 4 5 2 2 2" xfId="2558"/>
    <cellStyle name="常规 12 4 5 2 3" xfId="2559"/>
    <cellStyle name="常规 12 4 5 3" xfId="2560"/>
    <cellStyle name="常规 12 4 5 3 2" xfId="2561"/>
    <cellStyle name="常规 12 4 5 4" xfId="2563"/>
    <cellStyle name="常规 12 4 5 4 2" xfId="2567"/>
    <cellStyle name="常规 12 4 5 5" xfId="2168"/>
    <cellStyle name="常规 12 4 6" xfId="2570"/>
    <cellStyle name="常规 12 4 6 2" xfId="135"/>
    <cellStyle name="常规 12 4 6 2 2" xfId="2571"/>
    <cellStyle name="常规 12 4 6 3" xfId="2572"/>
    <cellStyle name="常规 12 4 6 3 2" xfId="2573"/>
    <cellStyle name="常规 12 4 6 4" xfId="2575"/>
    <cellStyle name="常规 12 4 7" xfId="2576"/>
    <cellStyle name="常规 12 4 7 2" xfId="2577"/>
    <cellStyle name="常规 12 4 7 2 2" xfId="2579"/>
    <cellStyle name="常规 12 4 7 3" xfId="1097"/>
    <cellStyle name="常规 12 4 8" xfId="2060"/>
    <cellStyle name="常规 12 4 8 2" xfId="2064"/>
    <cellStyle name="常规 12 4 9" xfId="2066"/>
    <cellStyle name="常规 12 5" xfId="164"/>
    <cellStyle name="常规 12 5 2" xfId="2580"/>
    <cellStyle name="常规 12 5 2 2" xfId="2581"/>
    <cellStyle name="常规 12 5 2 2 2" xfId="2583"/>
    <cellStyle name="常规 12 5 2 2 2 2" xfId="2585"/>
    <cellStyle name="常规 12 5 2 2 3" xfId="2587"/>
    <cellStyle name="常规 12 5 2 3" xfId="2588"/>
    <cellStyle name="常规 12 5 2 3 2" xfId="2590"/>
    <cellStyle name="常规 12 5 2 4" xfId="2591"/>
    <cellStyle name="常规 12 5 2 4 2" xfId="2593"/>
    <cellStyle name="常规 12 5 2 5" xfId="2595"/>
    <cellStyle name="常规 12 5 3" xfId="2596"/>
    <cellStyle name="常规 12 5 3 2" xfId="1797"/>
    <cellStyle name="常规 12 5 3 2 2" xfId="1800"/>
    <cellStyle name="常规 12 5 3 3" xfId="1802"/>
    <cellStyle name="常规 12 5 3 3 2" xfId="1805"/>
    <cellStyle name="常规 12 5 3 4" xfId="1807"/>
    <cellStyle name="常规 12 5 4" xfId="2597"/>
    <cellStyle name="常规 12 5 4 2" xfId="1812"/>
    <cellStyle name="常规 12 5 4 2 2" xfId="1814"/>
    <cellStyle name="常规 12 5 4 3" xfId="1816"/>
    <cellStyle name="常规 12 5 5" xfId="2600"/>
    <cellStyle name="常规 12 5 5 2" xfId="1823"/>
    <cellStyle name="常规 12 5 6" xfId="2602"/>
    <cellStyle name="常规 12 6" xfId="2603"/>
    <cellStyle name="常规 12 6 2" xfId="2604"/>
    <cellStyle name="常规 12 6 2 2" xfId="2605"/>
    <cellStyle name="常规 12 6 2 2 2" xfId="2606"/>
    <cellStyle name="常规 12 6 2 2 2 2" xfId="2608"/>
    <cellStyle name="常规 12 6 2 2 3" xfId="2609"/>
    <cellStyle name="常规 12 6 2 3" xfId="2610"/>
    <cellStyle name="常规 12 6 2 3 2" xfId="737"/>
    <cellStyle name="常规 12 6 2 4" xfId="1315"/>
    <cellStyle name="常规 12 6 2 4 2" xfId="343"/>
    <cellStyle name="常规 12 6 2 5" xfId="1042"/>
    <cellStyle name="常规 12 6 3" xfId="2611"/>
    <cellStyle name="常规 12 6 3 2" xfId="1832"/>
    <cellStyle name="常规 12 6 3 2 2" xfId="163"/>
    <cellStyle name="常规 12 6 3 3" xfId="2612"/>
    <cellStyle name="常规 12 6 3 3 2" xfId="88"/>
    <cellStyle name="常规 12 6 3 4" xfId="120"/>
    <cellStyle name="常规 12 6 4" xfId="2613"/>
    <cellStyle name="常规 12 6 4 2" xfId="2614"/>
    <cellStyle name="常规 12 6 4 2 2" xfId="2615"/>
    <cellStyle name="常规 12 6 4 3" xfId="2616"/>
    <cellStyle name="常规 12 6 5" xfId="2619"/>
    <cellStyle name="常规 12 6 5 2" xfId="2620"/>
    <cellStyle name="常规 12 6 6" xfId="2622"/>
    <cellStyle name="常规 12 7" xfId="2624"/>
    <cellStyle name="常规 12 7 2" xfId="2626"/>
    <cellStyle name="常规 12 7 2 2" xfId="2627"/>
    <cellStyle name="常规 12 7 2 2 2" xfId="2628"/>
    <cellStyle name="常规 12 7 2 2 2 2" xfId="2629"/>
    <cellStyle name="常规 12 7 2 2 3" xfId="2630"/>
    <cellStyle name="常规 12 7 2 3" xfId="2632"/>
    <cellStyle name="常规 12 7 2 3 2" xfId="2633"/>
    <cellStyle name="常规 12 7 2 4" xfId="2634"/>
    <cellStyle name="常规 12 7 2 4 2" xfId="2635"/>
    <cellStyle name="常规 12 7 2 5" xfId="2636"/>
    <cellStyle name="常规 12 7 3" xfId="2637"/>
    <cellStyle name="常规 12 7 3 2" xfId="2638"/>
    <cellStyle name="常规 12 7 3 2 2" xfId="2639"/>
    <cellStyle name="常规 12 7 3 3" xfId="2640"/>
    <cellStyle name="常规 12 7 3 3 2" xfId="2641"/>
    <cellStyle name="常规 12 7 3 4" xfId="848"/>
    <cellStyle name="常规 12 7 4" xfId="2582"/>
    <cellStyle name="常规 12 7 4 2" xfId="2584"/>
    <cellStyle name="常规 12 7 4 2 2" xfId="2642"/>
    <cellStyle name="常规 12 7 4 3" xfId="2643"/>
    <cellStyle name="常规 12 7 5" xfId="2586"/>
    <cellStyle name="常规 12 7 5 2" xfId="2644"/>
    <cellStyle name="常规 12 7 6" xfId="2646"/>
    <cellStyle name="常规 12 8" xfId="2648"/>
    <cellStyle name="常规 12 8 2" xfId="2649"/>
    <cellStyle name="常规 12 8 2 2" xfId="2650"/>
    <cellStyle name="常规 12 8 2 2 2" xfId="2651"/>
    <cellStyle name="常规 12 8 2 2 2 2" xfId="2654"/>
    <cellStyle name="常规 12 8 2 2 3" xfId="2655"/>
    <cellStyle name="常规 12 8 2 3" xfId="2657"/>
    <cellStyle name="常规 12 8 2 3 2" xfId="2658"/>
    <cellStyle name="常规 12 8 2 4" xfId="2659"/>
    <cellStyle name="常规 12 8 2 4 2" xfId="2660"/>
    <cellStyle name="常规 12 8 2 5" xfId="2661"/>
    <cellStyle name="常规 12 8 3" xfId="2662"/>
    <cellStyle name="常规 12 8 3 2" xfId="2663"/>
    <cellStyle name="常规 12 8 3 2 2" xfId="2664"/>
    <cellStyle name="常规 12 8 3 3" xfId="2665"/>
    <cellStyle name="常规 12 8 3 3 2" xfId="2666"/>
    <cellStyle name="常规 12 8 3 4" xfId="2667"/>
    <cellStyle name="常规 12 8 4" xfId="2589"/>
    <cellStyle name="常规 12 8 4 2" xfId="900"/>
    <cellStyle name="常规 12 8 4 2 2" xfId="2668"/>
    <cellStyle name="常规 12 8 4 3" xfId="284"/>
    <cellStyle name="常规 12 8 5" xfId="2669"/>
    <cellStyle name="常规 12 8 5 2" xfId="905"/>
    <cellStyle name="常规 12 8 6" xfId="2671"/>
    <cellStyle name="常规 12 9" xfId="2672"/>
    <cellStyle name="常规 12 9 2" xfId="1565"/>
    <cellStyle name="常规 12 9 2 2" xfId="2673"/>
    <cellStyle name="常规 12 9 2 2 2" xfId="943"/>
    <cellStyle name="常规 12 9 2 2 2 2" xfId="689"/>
    <cellStyle name="常规 12 9 2 2 3" xfId="945"/>
    <cellStyle name="常规 12 9 2 3" xfId="2674"/>
    <cellStyle name="常规 12 9 2 3 2" xfId="967"/>
    <cellStyle name="常规 12 9 2 4" xfId="2675"/>
    <cellStyle name="常规 12 9 2 4 2" xfId="2676"/>
    <cellStyle name="常规 12 9 2 5" xfId="2677"/>
    <cellStyle name="常规 12 9 3" xfId="2678"/>
    <cellStyle name="常规 12 9 3 2" xfId="2681"/>
    <cellStyle name="常规 12 9 3 2 2" xfId="2683"/>
    <cellStyle name="常规 12 9 3 3" xfId="2685"/>
    <cellStyle name="常规 12 9 3 3 2" xfId="2686"/>
    <cellStyle name="常规 12 9 3 4" xfId="2687"/>
    <cellStyle name="常规 12 9 4" xfId="2592"/>
    <cellStyle name="常规 12 9 4 2" xfId="910"/>
    <cellStyle name="常规 12 9 4 2 2" xfId="16"/>
    <cellStyle name="常规 12 9 4 3" xfId="323"/>
    <cellStyle name="常规 12 9 5" xfId="2688"/>
    <cellStyle name="常规 12 9 5 2" xfId="915"/>
    <cellStyle name="常规 12 9 6" xfId="2689"/>
    <cellStyle name="常规 12_9、2018年市本级政府预算重点民生项目表" xfId="2690"/>
    <cellStyle name="常规 13" xfId="2691"/>
    <cellStyle name="常规 13 10" xfId="2692"/>
    <cellStyle name="常规 13 10 2" xfId="2693"/>
    <cellStyle name="常规 13 11" xfId="2695"/>
    <cellStyle name="常规 13 2" xfId="2696"/>
    <cellStyle name="常规 13 2 2" xfId="2697"/>
    <cellStyle name="常规 13 2 2 2" xfId="2698"/>
    <cellStyle name="常规 13 2 2 2 2" xfId="2702"/>
    <cellStyle name="常规 13 2 2 2 2 2" xfId="2707"/>
    <cellStyle name="常规 13 2 2 2 3" xfId="1700"/>
    <cellStyle name="常规 13 2 2 3" xfId="1040"/>
    <cellStyle name="常规 13 2 2 3 2" xfId="2711"/>
    <cellStyle name="常规 13 2 2 4" xfId="2712"/>
    <cellStyle name="常规 13 2 2 4 2" xfId="2714"/>
    <cellStyle name="常规 13 2 2 5" xfId="2715"/>
    <cellStyle name="常规 13 2 3" xfId="2716"/>
    <cellStyle name="常规 13 2 3 2" xfId="2717"/>
    <cellStyle name="常规 13 2 3 2 2" xfId="2718"/>
    <cellStyle name="常规 13 2 3 3" xfId="2719"/>
    <cellStyle name="常规 13 2 3 3 2" xfId="2720"/>
    <cellStyle name="常规 13 2 3 4" xfId="1288"/>
    <cellStyle name="常规 13 2 4" xfId="2723"/>
    <cellStyle name="常规 13 2 4 2" xfId="2724"/>
    <cellStyle name="常规 13 2 4 2 2" xfId="1826"/>
    <cellStyle name="常规 13 2 4 3" xfId="2725"/>
    <cellStyle name="常规 13 2 5" xfId="919"/>
    <cellStyle name="常规 13 2 5 2" xfId="2726"/>
    <cellStyle name="常规 13 2 6" xfId="2727"/>
    <cellStyle name="常规 13 3" xfId="1204"/>
    <cellStyle name="常规 13 3 2" xfId="2729"/>
    <cellStyle name="常规 13 3 2 2" xfId="2730"/>
    <cellStyle name="常规 13 3 2 2 2" xfId="1063"/>
    <cellStyle name="常规 13 3 2 2 2 2" xfId="1068"/>
    <cellStyle name="常规 13 3 2 2 3" xfId="2736"/>
    <cellStyle name="常规 13 3 2 3" xfId="2739"/>
    <cellStyle name="常规 13 3 2 3 2" xfId="2743"/>
    <cellStyle name="常规 13 3 2 4" xfId="2746"/>
    <cellStyle name="常规 13 3 2 4 2" xfId="2749"/>
    <cellStyle name="常规 13 3 2 5" xfId="2752"/>
    <cellStyle name="常规 13 3 3" xfId="2755"/>
    <cellStyle name="常规 13 3 3 2" xfId="1873"/>
    <cellStyle name="常规 13 3 3 2 2" xfId="1877"/>
    <cellStyle name="常规 13 3 3 3" xfId="1881"/>
    <cellStyle name="常规 13 3 3 3 2" xfId="1885"/>
    <cellStyle name="常规 13 3 3 4" xfId="1300"/>
    <cellStyle name="常规 13 3 4" xfId="2756"/>
    <cellStyle name="常规 13 3 4 2" xfId="1896"/>
    <cellStyle name="常规 13 3 4 2 2" xfId="1900"/>
    <cellStyle name="常规 13 3 4 3" xfId="1904"/>
    <cellStyle name="常规 13 3 5" xfId="2757"/>
    <cellStyle name="常规 13 3 5 2" xfId="1908"/>
    <cellStyle name="常规 13 3 6" xfId="2758"/>
    <cellStyle name="常规 13 4" xfId="2759"/>
    <cellStyle name="常规 13 4 2" xfId="2760"/>
    <cellStyle name="常规 13 4 2 2" xfId="2762"/>
    <cellStyle name="常规 13 4 2 2 2" xfId="2765"/>
    <cellStyle name="常规 13 4 2 2 2 2" xfId="681"/>
    <cellStyle name="常规 13 4 2 2 3" xfId="2768"/>
    <cellStyle name="常规 13 4 2 3" xfId="2769"/>
    <cellStyle name="常规 13 4 2 3 2" xfId="2771"/>
    <cellStyle name="常规 13 4 2 4" xfId="2772"/>
    <cellStyle name="常规 13 4 2 4 2" xfId="2773"/>
    <cellStyle name="常规 13 4 2 5" xfId="2775"/>
    <cellStyle name="常规 13 4 3" xfId="2776"/>
    <cellStyle name="常规 13 4 3 2" xfId="1924"/>
    <cellStyle name="常规 13 4 3 2 2" xfId="1927"/>
    <cellStyle name="常规 13 4 3 3" xfId="1929"/>
    <cellStyle name="常规 13 4 3 3 2" xfId="1931"/>
    <cellStyle name="常规 13 4 3 4" xfId="1933"/>
    <cellStyle name="常规 13 4 4" xfId="2777"/>
    <cellStyle name="常规 13 4 4 2" xfId="1944"/>
    <cellStyle name="常规 13 4 4 2 2" xfId="1947"/>
    <cellStyle name="常规 13 4 4 3" xfId="1949"/>
    <cellStyle name="常规 13 4 5" xfId="2780"/>
    <cellStyle name="常规 13 4 5 2" xfId="1957"/>
    <cellStyle name="常规 13 4 6" xfId="2781"/>
    <cellStyle name="常规 13 5" xfId="87"/>
    <cellStyle name="常规 13 5 2" xfId="2782"/>
    <cellStyle name="常规 13 5 2 2" xfId="2247"/>
    <cellStyle name="常规 13 5 2 2 2" xfId="814"/>
    <cellStyle name="常规 13 5 2 2 2 2" xfId="819"/>
    <cellStyle name="常规 13 5 2 2 3" xfId="826"/>
    <cellStyle name="常规 13 5 2 3" xfId="2249"/>
    <cellStyle name="常规 13 5 2 3 2" xfId="2254"/>
    <cellStyle name="常规 13 5 2 4" xfId="2261"/>
    <cellStyle name="常规 13 5 2 4 2" xfId="2263"/>
    <cellStyle name="常规 13 5 2 5" xfId="2265"/>
    <cellStyle name="常规 13 5 3" xfId="2783"/>
    <cellStyle name="常规 13 5 3 2" xfId="1970"/>
    <cellStyle name="常规 13 5 3 2 2" xfId="851"/>
    <cellStyle name="常规 13 5 3 3" xfId="1972"/>
    <cellStyle name="常规 13 5 3 3 2" xfId="1974"/>
    <cellStyle name="常规 13 5 3 4" xfId="1976"/>
    <cellStyle name="常规 13 5 4" xfId="2784"/>
    <cellStyle name="常规 13 5 4 2" xfId="1980"/>
    <cellStyle name="常规 13 5 4 2 2" xfId="648"/>
    <cellStyle name="常规 13 5 4 3" xfId="1982"/>
    <cellStyle name="常规 13 5 5" xfId="2788"/>
    <cellStyle name="常规 13 5 5 2" xfId="1989"/>
    <cellStyle name="常规 13 5 6" xfId="2790"/>
    <cellStyle name="常规 13 6" xfId="1167"/>
    <cellStyle name="常规 13 6 2" xfId="1169"/>
    <cellStyle name="常规 13 6 2 2" xfId="1171"/>
    <cellStyle name="常规 13 6 2 2 2" xfId="2791"/>
    <cellStyle name="常规 13 6 2 2 2 2" xfId="2792"/>
    <cellStyle name="常规 13 6 2 2 3" xfId="2793"/>
    <cellStyle name="常规 13 6 2 3" xfId="2794"/>
    <cellStyle name="常规 13 6 2 3 2" xfId="2795"/>
    <cellStyle name="常规 13 6 2 4" xfId="2796"/>
    <cellStyle name="常规 13 6 2 4 2" xfId="2797"/>
    <cellStyle name="常规 13 6 2 5" xfId="2798"/>
    <cellStyle name="常规 13 6 3" xfId="1173"/>
    <cellStyle name="常规 13 6 3 2" xfId="1997"/>
    <cellStyle name="常规 13 6 3 2 2" xfId="2799"/>
    <cellStyle name="常规 13 6 3 3" xfId="2800"/>
    <cellStyle name="常规 13 6 3 3 2" xfId="2801"/>
    <cellStyle name="常规 13 6 3 4" xfId="202"/>
    <cellStyle name="常规 13 6 4" xfId="1790"/>
    <cellStyle name="常规 13 6 4 2" xfId="1792"/>
    <cellStyle name="常规 13 6 4 2 2" xfId="2802"/>
    <cellStyle name="常规 13 6 4 3" xfId="2803"/>
    <cellStyle name="常规 13 6 5" xfId="1794"/>
    <cellStyle name="常规 13 6 5 2" xfId="2804"/>
    <cellStyle name="常规 13 6 6" xfId="2363"/>
    <cellStyle name="常规 13 7" xfId="488"/>
    <cellStyle name="常规 13 7 2" xfId="492"/>
    <cellStyle name="常规 13 7 2 2" xfId="2805"/>
    <cellStyle name="常规 13 7 2 2 2" xfId="2806"/>
    <cellStyle name="常规 13 7 2 3" xfId="2807"/>
    <cellStyle name="常规 13 7 3" xfId="2808"/>
    <cellStyle name="常规 13 7 3 2" xfId="2809"/>
    <cellStyle name="常规 13 7 4" xfId="1798"/>
    <cellStyle name="常规 13 7 4 2" xfId="2810"/>
    <cellStyle name="常规 13 7 5" xfId="2811"/>
    <cellStyle name="常规 13 8" xfId="497"/>
    <cellStyle name="常规 13 8 2" xfId="500"/>
    <cellStyle name="常规 13 8 2 2" xfId="503"/>
    <cellStyle name="常规 13 8 3" xfId="506"/>
    <cellStyle name="常规 13 8 3 2" xfId="2812"/>
    <cellStyle name="常规 13 8 4" xfId="1803"/>
    <cellStyle name="常规 13 9" xfId="508"/>
    <cellStyle name="常规 13 9 2" xfId="1594"/>
    <cellStyle name="常规 13 9 2 2" xfId="2813"/>
    <cellStyle name="常规 13 9 3" xfId="2814"/>
    <cellStyle name="常规 13_9、2018年市本级政府预算重点民生项目表" xfId="2816"/>
    <cellStyle name="常规 14" xfId="2818"/>
    <cellStyle name="常规 14 2" xfId="2174"/>
    <cellStyle name="常规 14 2 2" xfId="2176"/>
    <cellStyle name="常规 14 2 2 2" xfId="2820"/>
    <cellStyle name="常规 14 2 2 2 2" xfId="2821"/>
    <cellStyle name="常规 14 2 2 3" xfId="2823"/>
    <cellStyle name="常规 14 2 3" xfId="2824"/>
    <cellStyle name="常规 14 2 3 2" xfId="1263"/>
    <cellStyle name="常规 14 2 4" xfId="2826"/>
    <cellStyle name="常规 14 2 4 2" xfId="1388"/>
    <cellStyle name="常规 14 2 5" xfId="688"/>
    <cellStyle name="常规 14 3" xfId="2178"/>
    <cellStyle name="常规 14 3 2" xfId="2827"/>
    <cellStyle name="常规 14 3 2 2" xfId="2828"/>
    <cellStyle name="常规 14 3 3" xfId="2829"/>
    <cellStyle name="常规 14 3 3 2" xfId="1855"/>
    <cellStyle name="常规 14 3 4" xfId="2830"/>
    <cellStyle name="常规 14 4" xfId="2831"/>
    <cellStyle name="常规 14 4 2" xfId="2832"/>
    <cellStyle name="常规 14 4 2 2" xfId="2833"/>
    <cellStyle name="常规 14 4 3" xfId="2834"/>
    <cellStyle name="常规 14 5" xfId="2835"/>
    <cellStyle name="常规 14 5 2" xfId="2836"/>
    <cellStyle name="常规 14 6" xfId="1176"/>
    <cellStyle name="常规 14_9、2018年市本级政府预算重点民生项目表" xfId="2837"/>
    <cellStyle name="常规 15" xfId="662"/>
    <cellStyle name="常规 15 2" xfId="807"/>
    <cellStyle name="常规 15 2 2" xfId="2838"/>
    <cellStyle name="常规 15 2 2 2" xfId="2840"/>
    <cellStyle name="常规 15 2 2 2 2" xfId="2842"/>
    <cellStyle name="常规 15 2 2 3" xfId="2845"/>
    <cellStyle name="常规 15 2 3" xfId="2847"/>
    <cellStyle name="常规 15 2 3 2" xfId="2849"/>
    <cellStyle name="常规 15 2 4" xfId="2851"/>
    <cellStyle name="常规 15 2 4 2" xfId="2854"/>
    <cellStyle name="常规 15 2 5" xfId="969"/>
    <cellStyle name="常规 15 3" xfId="2857"/>
    <cellStyle name="常规 15 3 2" xfId="563"/>
    <cellStyle name="常规 15 3 2 2" xfId="710"/>
    <cellStyle name="常规 15 3 3" xfId="2860"/>
    <cellStyle name="常规 15 3 3 2" xfId="2129"/>
    <cellStyle name="常规 15 3 4" xfId="2862"/>
    <cellStyle name="常规 15 4" xfId="2863"/>
    <cellStyle name="常规 15 4 2" xfId="15"/>
    <cellStyle name="常规 15 4 2 2" xfId="2866"/>
    <cellStyle name="常规 15 4 3" xfId="2392"/>
    <cellStyle name="常规 15 5" xfId="2867"/>
    <cellStyle name="常规 15 5 2" xfId="2869"/>
    <cellStyle name="常规 15 6" xfId="1180"/>
    <cellStyle name="常规 15_9、2018年市本级政府预算重点民生项目表" xfId="2873"/>
    <cellStyle name="常规 16" xfId="812"/>
    <cellStyle name="常规 16 10" xfId="2874"/>
    <cellStyle name="常规 16 10 2" xfId="1207"/>
    <cellStyle name="常规 16 11" xfId="847"/>
    <cellStyle name="常规 16 2" xfId="817"/>
    <cellStyle name="常规 16 2 2" xfId="989"/>
    <cellStyle name="常规 16 2 2 2" xfId="2875"/>
    <cellStyle name="常规 16 2 2 2 2" xfId="2879"/>
    <cellStyle name="常规 16 2 2 2 2 2" xfId="578"/>
    <cellStyle name="常规 16 2 2 2 3" xfId="2374"/>
    <cellStyle name="常规 16 2 2 3" xfId="2882"/>
    <cellStyle name="常规 16 2 2 3 2" xfId="2889"/>
    <cellStyle name="常规 16 2 2 4" xfId="2892"/>
    <cellStyle name="常规 16 2 2 4 2" xfId="2895"/>
    <cellStyle name="常规 16 2 2 5" xfId="2222"/>
    <cellStyle name="常规 16 2 3" xfId="992"/>
    <cellStyle name="常规 16 2 3 2" xfId="2897"/>
    <cellStyle name="常规 16 2 3 2 2" xfId="2900"/>
    <cellStyle name="常规 16 2 3 3" xfId="2902"/>
    <cellStyle name="常规 16 2 3 3 2" xfId="2904"/>
    <cellStyle name="常规 16 2 3 4" xfId="2906"/>
    <cellStyle name="常规 16 2 4" xfId="2907"/>
    <cellStyle name="常规 16 2 4 2" xfId="2912"/>
    <cellStyle name="常规 16 2 4 2 2" xfId="589"/>
    <cellStyle name="常规 16 2 4 3" xfId="2916"/>
    <cellStyle name="常规 16 2 5" xfId="2917"/>
    <cellStyle name="常规 16 2 5 2" xfId="2921"/>
    <cellStyle name="常规 16 2 6" xfId="2922"/>
    <cellStyle name="常规 16 3" xfId="2924"/>
    <cellStyle name="常规 16 3 2" xfId="2927"/>
    <cellStyle name="常规 16 3 2 2" xfId="2930"/>
    <cellStyle name="常规 16 3 2 2 2" xfId="2933"/>
    <cellStyle name="常规 16 3 2 2 2 2" xfId="2935"/>
    <cellStyle name="常规 16 3 2 2 3" xfId="2475"/>
    <cellStyle name="常规 16 3 2 3" xfId="2936"/>
    <cellStyle name="常规 16 3 2 3 2" xfId="2938"/>
    <cellStyle name="常规 16 3 2 4" xfId="2939"/>
    <cellStyle name="常规 16 3 2 4 2" xfId="2940"/>
    <cellStyle name="常规 16 3 2 5" xfId="2941"/>
    <cellStyle name="常规 16 3 3" xfId="2944"/>
    <cellStyle name="常规 16 3 3 2" xfId="2147"/>
    <cellStyle name="常规 16 3 3 2 2" xfId="2946"/>
    <cellStyle name="常规 16 3 3 3" xfId="2947"/>
    <cellStyle name="常规 16 3 3 3 2" xfId="2948"/>
    <cellStyle name="常规 16 3 3 4" xfId="2949"/>
    <cellStyle name="常规 16 3 4" xfId="2951"/>
    <cellStyle name="常规 16 3 4 2" xfId="2953"/>
    <cellStyle name="常规 16 3 4 2 2" xfId="2954"/>
    <cellStyle name="常规 16 3 4 3" xfId="2955"/>
    <cellStyle name="常规 16 3 5" xfId="2956"/>
    <cellStyle name="常规 16 3 5 2" xfId="2957"/>
    <cellStyle name="常规 16 3 6" xfId="2959"/>
    <cellStyle name="常规 16 4" xfId="2960"/>
    <cellStyle name="常规 16 4 2" xfId="2963"/>
    <cellStyle name="常规 16 4 2 2" xfId="2965"/>
    <cellStyle name="常规 16 4 2 2 2" xfId="2967"/>
    <cellStyle name="常规 16 4 2 2 2 2" xfId="2969"/>
    <cellStyle name="常规 16 4 2 2 3" xfId="2566"/>
    <cellStyle name="常规 16 4 2 3" xfId="34"/>
    <cellStyle name="常规 16 4 2 3 2" xfId="2971"/>
    <cellStyle name="常规 16 4 2 4" xfId="2972"/>
    <cellStyle name="常规 16 4 2 4 2" xfId="2973"/>
    <cellStyle name="常规 16 4 2 5" xfId="2974"/>
    <cellStyle name="常规 16 4 3" xfId="2872"/>
    <cellStyle name="常规 16 4 3 2" xfId="2975"/>
    <cellStyle name="常规 16 4 3 2 2" xfId="2976"/>
    <cellStyle name="常规 16 4 3 3" xfId="2977"/>
    <cellStyle name="常规 16 4 3 3 2" xfId="2978"/>
    <cellStyle name="常规 16 4 3 4" xfId="2979"/>
    <cellStyle name="常规 16 4 4" xfId="2980"/>
    <cellStyle name="常规 16 4 4 2" xfId="2982"/>
    <cellStyle name="常规 16 4 4 2 2" xfId="2984"/>
    <cellStyle name="常规 16 4 4 3" xfId="2986"/>
    <cellStyle name="常规 16 4 5" xfId="2987"/>
    <cellStyle name="常规 16 4 5 2" xfId="2989"/>
    <cellStyle name="常规 16 4 6" xfId="2991"/>
    <cellStyle name="常规 16 5" xfId="2993"/>
    <cellStyle name="常规 16 5 2" xfId="2995"/>
    <cellStyle name="常规 16 5 2 2" xfId="2997"/>
    <cellStyle name="常规 16 5 2 2 2" xfId="125"/>
    <cellStyle name="常规 16 5 2 2 2 2" xfId="831"/>
    <cellStyle name="常规 16 5 2 2 3" xfId="128"/>
    <cellStyle name="常规 16 5 2 3" xfId="2999"/>
    <cellStyle name="常规 16 5 2 3 2" xfId="3000"/>
    <cellStyle name="常规 16 5 2 4" xfId="3001"/>
    <cellStyle name="常规 16 5 2 4 2" xfId="3002"/>
    <cellStyle name="常规 16 5 2 5" xfId="3003"/>
    <cellStyle name="常规 16 5 3" xfId="3005"/>
    <cellStyle name="常规 16 5 3 2" xfId="3006"/>
    <cellStyle name="常规 16 5 3 2 2" xfId="3008"/>
    <cellStyle name="常规 16 5 3 3" xfId="3009"/>
    <cellStyle name="常规 16 5 3 3 2" xfId="3010"/>
    <cellStyle name="常规 16 5 3 4" xfId="3011"/>
    <cellStyle name="常规 16 5 4" xfId="3012"/>
    <cellStyle name="常规 16 5 4 2" xfId="3014"/>
    <cellStyle name="常规 16 5 4 2 2" xfId="692"/>
    <cellStyle name="常规 16 5 4 3" xfId="3016"/>
    <cellStyle name="常规 16 5 5" xfId="1658"/>
    <cellStyle name="常规 16 5 5 2" xfId="1661"/>
    <cellStyle name="常规 16 5 6" xfId="1669"/>
    <cellStyle name="常规 16 6" xfId="1186"/>
    <cellStyle name="常规 16 6 2" xfId="1435"/>
    <cellStyle name="常规 16 6 2 2" xfId="3017"/>
    <cellStyle name="常规 16 6 2 2 2" xfId="3018"/>
    <cellStyle name="常规 16 6 2 2 2 2" xfId="3020"/>
    <cellStyle name="常规 16 6 2 2 3" xfId="3021"/>
    <cellStyle name="常规 16 6 2 3" xfId="227"/>
    <cellStyle name="常规 16 6 2 3 2" xfId="3022"/>
    <cellStyle name="常规 16 6 2 4" xfId="3023"/>
    <cellStyle name="常规 16 6 2 4 2" xfId="3024"/>
    <cellStyle name="常规 16 6 2 5" xfId="3025"/>
    <cellStyle name="常规 16 6 3" xfId="3026"/>
    <cellStyle name="常规 16 6 3 2" xfId="3027"/>
    <cellStyle name="常规 16 6 3 2 2" xfId="3028"/>
    <cellStyle name="常规 16 6 3 3" xfId="233"/>
    <cellStyle name="常规 16 6 3 3 2" xfId="237"/>
    <cellStyle name="常规 16 6 3 4" xfId="240"/>
    <cellStyle name="常规 16 6 4" xfId="3029"/>
    <cellStyle name="常规 16 6 4 2" xfId="3030"/>
    <cellStyle name="常规 16 6 4 2 2" xfId="3031"/>
    <cellStyle name="常规 16 6 4 3" xfId="3032"/>
    <cellStyle name="常规 16 6 5" xfId="1686"/>
    <cellStyle name="常规 16 6 5 2" xfId="1688"/>
    <cellStyle name="常规 16 6 6" xfId="1693"/>
    <cellStyle name="常规 16 7" xfId="3033"/>
    <cellStyle name="常规 16 7 2" xfId="3034"/>
    <cellStyle name="常规 16 7 2 2" xfId="3035"/>
    <cellStyle name="常规 16 7 2 2 2" xfId="3036"/>
    <cellStyle name="常规 16 7 2 3" xfId="264"/>
    <cellStyle name="常规 16 7 3" xfId="3037"/>
    <cellStyle name="常规 16 7 3 2" xfId="566"/>
    <cellStyle name="常规 16 7 4" xfId="3039"/>
    <cellStyle name="常规 16 7 4 2" xfId="12"/>
    <cellStyle name="常规 16 7 5" xfId="1706"/>
    <cellStyle name="常规 16 8" xfId="3041"/>
    <cellStyle name="常规 16 8 2" xfId="3043"/>
    <cellStyle name="常规 16 8 2 2" xfId="3044"/>
    <cellStyle name="常规 16 8 3" xfId="200"/>
    <cellStyle name="常规 16 8 3 2" xfId="3045"/>
    <cellStyle name="常规 16 8 4" xfId="3047"/>
    <cellStyle name="常规 16 9" xfId="3049"/>
    <cellStyle name="常规 16 9 2" xfId="3051"/>
    <cellStyle name="常规 16 9 2 2" xfId="3052"/>
    <cellStyle name="常规 16 9 3" xfId="3007"/>
    <cellStyle name="常规 16_9、2018年市本级政府预算重点民生项目表" xfId="1223"/>
    <cellStyle name="常规 17" xfId="824"/>
    <cellStyle name="常规 17 2" xfId="410"/>
    <cellStyle name="常规 17 2 2" xfId="3053"/>
    <cellStyle name="常规 17 2 2 2" xfId="3055"/>
    <cellStyle name="常规 17 2 2 2 2" xfId="3057"/>
    <cellStyle name="常规 17 2 2 3" xfId="3060"/>
    <cellStyle name="常规 17 2 3" xfId="1085"/>
    <cellStyle name="常规 17 2 3 2" xfId="3064"/>
    <cellStyle name="常规 17 2 4" xfId="1722"/>
    <cellStyle name="常规 17 2 4 2" xfId="3066"/>
    <cellStyle name="常规 17 2 5" xfId="3068"/>
    <cellStyle name="常规 17 3" xfId="2731"/>
    <cellStyle name="常规 17 3 2" xfId="1064"/>
    <cellStyle name="常规 17 3 2 2" xfId="1069"/>
    <cellStyle name="常规 17 3 3" xfId="2737"/>
    <cellStyle name="常规 17 3 3 2" xfId="2171"/>
    <cellStyle name="常规 17 3 4" xfId="3070"/>
    <cellStyle name="常规 17 4" xfId="2740"/>
    <cellStyle name="常规 17 4 2" xfId="2744"/>
    <cellStyle name="常规 17 4 2 2" xfId="890"/>
    <cellStyle name="常规 17 4 3" xfId="3072"/>
    <cellStyle name="常规 17 5" xfId="2747"/>
    <cellStyle name="常规 17 5 2" xfId="2750"/>
    <cellStyle name="常规 17 6" xfId="2753"/>
    <cellStyle name="常规 17_9、2018年市本级政府预算重点民生项目表" xfId="3074"/>
    <cellStyle name="常规 18" xfId="1859"/>
    <cellStyle name="常规 18 2" xfId="1862"/>
    <cellStyle name="常规 18 2 2" xfId="1865"/>
    <cellStyle name="常规 18 2 2 2" xfId="1868"/>
    <cellStyle name="常规 18 2 2 2 2" xfId="3076"/>
    <cellStyle name="常规 18 2 2 3" xfId="3078"/>
    <cellStyle name="常规 18 2 3" xfId="1871"/>
    <cellStyle name="常规 18 2 3 2" xfId="3081"/>
    <cellStyle name="常规 18 2 4" xfId="2428"/>
    <cellStyle name="常规 18 2 4 2" xfId="2430"/>
    <cellStyle name="常规 18 2 5" xfId="2432"/>
    <cellStyle name="常规 18 3" xfId="1874"/>
    <cellStyle name="常规 18 3 2" xfId="1878"/>
    <cellStyle name="常规 18 3 2 2" xfId="3082"/>
    <cellStyle name="常规 18 3 3" xfId="3085"/>
    <cellStyle name="常规 18 3 3 2" xfId="2189"/>
    <cellStyle name="常规 18 3 4" xfId="2436"/>
    <cellStyle name="常规 18 4" xfId="1882"/>
    <cellStyle name="常规 18 4 2" xfId="1886"/>
    <cellStyle name="常规 18 4 2 2" xfId="3086"/>
    <cellStyle name="常规 18 4 3" xfId="3087"/>
    <cellStyle name="常规 18 5" xfId="1301"/>
    <cellStyle name="常规 18 5 2" xfId="3088"/>
    <cellStyle name="常规 18 6" xfId="3089"/>
    <cellStyle name="常规 19" xfId="1888"/>
    <cellStyle name="常规 19 2" xfId="1891"/>
    <cellStyle name="常规 19 3" xfId="1897"/>
    <cellStyle name="常规 2" xfId="2865"/>
    <cellStyle name="常规 2 10" xfId="2652"/>
    <cellStyle name="常规 2 10 2" xfId="3090"/>
    <cellStyle name="常规 2 10 2 2" xfId="3061"/>
    <cellStyle name="常规 2 10 2 2 2" xfId="3091"/>
    <cellStyle name="常规 2 10 2 2 2 2" xfId="3092"/>
    <cellStyle name="常规 2 10 2 2 3" xfId="3093"/>
    <cellStyle name="常规 2 10 2 3" xfId="2024"/>
    <cellStyle name="常规 2 10 2 3 2" xfId="3094"/>
    <cellStyle name="常规 2 10 2 4" xfId="2680"/>
    <cellStyle name="常规 2 10 2 4 2" xfId="2682"/>
    <cellStyle name="常规 2 10 2 5" xfId="2684"/>
    <cellStyle name="常规 2 10 3" xfId="665"/>
    <cellStyle name="常规 2 10 3 2" xfId="3095"/>
    <cellStyle name="常规 2 10 3 2 2" xfId="3096"/>
    <cellStyle name="常规 2 10 3 3" xfId="876"/>
    <cellStyle name="常规 2 10 3 3 2" xfId="560"/>
    <cellStyle name="常规 2 10 3 4" xfId="909"/>
    <cellStyle name="常规 2 10 4" xfId="3097"/>
    <cellStyle name="常规 2 10 4 2" xfId="3098"/>
    <cellStyle name="常规 2 10 4 2 2" xfId="3099"/>
    <cellStyle name="常规 2 10 4 3" xfId="197"/>
    <cellStyle name="常规 2 10 5" xfId="3100"/>
    <cellStyle name="常规 2 10 5 2" xfId="2721"/>
    <cellStyle name="常规 2 10 6" xfId="3101"/>
    <cellStyle name="常规 2 11" xfId="3102"/>
    <cellStyle name="常规 2 11 2" xfId="3103"/>
    <cellStyle name="常规 2 11 2 2" xfId="862"/>
    <cellStyle name="常规 2 11 2 2 2" xfId="3105"/>
    <cellStyle name="常规 2 11 2 2 2 2" xfId="3107"/>
    <cellStyle name="常规 2 11 2 2 3" xfId="3108"/>
    <cellStyle name="常规 2 11 2 3" xfId="3109"/>
    <cellStyle name="常规 2 11 2 3 2" xfId="3111"/>
    <cellStyle name="常规 2 11 2 4" xfId="3113"/>
    <cellStyle name="常规 2 11 2 4 2" xfId="3115"/>
    <cellStyle name="常规 2 11 2 5" xfId="3116"/>
    <cellStyle name="常规 2 11 3" xfId="673"/>
    <cellStyle name="常规 2 11 3 2" xfId="677"/>
    <cellStyle name="常规 2 11 3 2 2" xfId="2236"/>
    <cellStyle name="常规 2 11 3 3" xfId="925"/>
    <cellStyle name="常规 2 11 3 3 2" xfId="930"/>
    <cellStyle name="常规 2 11 3 4" xfId="933"/>
    <cellStyle name="常规 2 11 4" xfId="683"/>
    <cellStyle name="常规 2 11 4 2" xfId="3117"/>
    <cellStyle name="常规 2 11 4 2 2" xfId="3119"/>
    <cellStyle name="常规 2 11 4 3" xfId="938"/>
    <cellStyle name="常规 2 11 5" xfId="3120"/>
    <cellStyle name="常规 2 11 5 2" xfId="2825"/>
    <cellStyle name="常规 2 11 6" xfId="3122"/>
    <cellStyle name="常规 2 12" xfId="3123"/>
    <cellStyle name="常规 2 12 2" xfId="3124"/>
    <cellStyle name="常规 2 12 2 2" xfId="3126"/>
    <cellStyle name="常规 2 12 2 2 2" xfId="3128"/>
    <cellStyle name="常规 2 12 2 2 2 2" xfId="3130"/>
    <cellStyle name="常规 2 12 2 2 3" xfId="3131"/>
    <cellStyle name="常规 2 12 2 3" xfId="3132"/>
    <cellStyle name="常规 2 12 2 3 2" xfId="3134"/>
    <cellStyle name="常规 2 12 2 4" xfId="3136"/>
    <cellStyle name="常规 2 12 2 4 2" xfId="3138"/>
    <cellStyle name="常规 2 12 2 5" xfId="774"/>
    <cellStyle name="常规 2 12 3" xfId="3139"/>
    <cellStyle name="常规 2 12 3 2" xfId="3141"/>
    <cellStyle name="常规 2 12 3 2 2" xfId="3144"/>
    <cellStyle name="常规 2 12 3 3" xfId="948"/>
    <cellStyle name="常规 2 12 3 3 2" xfId="952"/>
    <cellStyle name="常规 2 12 3 4" xfId="954"/>
    <cellStyle name="常规 2 12 4" xfId="3146"/>
    <cellStyle name="常规 2 12 4 2" xfId="3148"/>
    <cellStyle name="常规 2 12 4 2 2" xfId="3151"/>
    <cellStyle name="常规 2 12 4 3" xfId="961"/>
    <cellStyle name="常规 2 12 5" xfId="3152"/>
    <cellStyle name="常规 2 12 5 2" xfId="2853"/>
    <cellStyle name="常规 2 12 6" xfId="3155"/>
    <cellStyle name="常规 2 13" xfId="1488"/>
    <cellStyle name="常规 2 13 2" xfId="1491"/>
    <cellStyle name="常规 2 13 2 2" xfId="3156"/>
    <cellStyle name="常规 2 13 2 2 2" xfId="3158"/>
    <cellStyle name="常规 2 13 2 2 2 2" xfId="147"/>
    <cellStyle name="常规 2 13 2 2 3" xfId="3160"/>
    <cellStyle name="常规 2 13 2 3" xfId="3161"/>
    <cellStyle name="常规 2 13 2 3 2" xfId="3163"/>
    <cellStyle name="常规 2 13 2 4" xfId="2285"/>
    <cellStyle name="常规 2 13 2 4 2" xfId="2288"/>
    <cellStyle name="常规 2 13 2 5" xfId="2290"/>
    <cellStyle name="常规 2 13 3" xfId="3165"/>
    <cellStyle name="常规 2 13 3 2" xfId="3167"/>
    <cellStyle name="常规 2 13 3 2 2" xfId="3169"/>
    <cellStyle name="常规 2 13 3 3" xfId="976"/>
    <cellStyle name="常规 2 13 3 3 2" xfId="3173"/>
    <cellStyle name="常规 2 13 3 4" xfId="2296"/>
    <cellStyle name="常规 2 13 4" xfId="3174"/>
    <cellStyle name="常规 2 13 4 2" xfId="4"/>
    <cellStyle name="常规 2 13 4 2 2" xfId="280"/>
    <cellStyle name="常规 2 13 4 3" xfId="113"/>
    <cellStyle name="常规 2 13 5" xfId="3176"/>
    <cellStyle name="常规 2 13 5 2" xfId="2909"/>
    <cellStyle name="常规 2 13 6" xfId="3179"/>
    <cellStyle name="常规 2 14" xfId="1495"/>
    <cellStyle name="常规 2 14 2" xfId="290"/>
    <cellStyle name="常规 2 14 2 2" xfId="294"/>
    <cellStyle name="常规 2 14 2 2 2" xfId="1057"/>
    <cellStyle name="常规 2 14 2 2 2 2" xfId="3180"/>
    <cellStyle name="常规 2 14 2 2 3" xfId="2844"/>
    <cellStyle name="常规 2 14 2 3" xfId="3181"/>
    <cellStyle name="常规 2 14 2 3 2" xfId="1165"/>
    <cellStyle name="常规 2 14 2 4" xfId="2315"/>
    <cellStyle name="常规 2 14 2 4 2" xfId="1309"/>
    <cellStyle name="常规 2 14 2 5" xfId="2318"/>
    <cellStyle name="常规 2 14 3" xfId="298"/>
    <cellStyle name="常规 2 14 3 2" xfId="303"/>
    <cellStyle name="常规 2 14 3 2 2" xfId="307"/>
    <cellStyle name="常规 2 14 3 3" xfId="310"/>
    <cellStyle name="常规 2 14 3 3 2" xfId="1752"/>
    <cellStyle name="常规 2 14 3 4" xfId="2322"/>
    <cellStyle name="常规 2 14 4" xfId="317"/>
    <cellStyle name="常规 2 14 4 2" xfId="3183"/>
    <cellStyle name="常规 2 14 4 2 2" xfId="3185"/>
    <cellStyle name="常规 2 14 4 3" xfId="3187"/>
    <cellStyle name="常规 2 14 5" xfId="1719"/>
    <cellStyle name="常规 2 14 5 2" xfId="1724"/>
    <cellStyle name="常规 2 14 6" xfId="1726"/>
    <cellStyle name="常规 2 15" xfId="3189"/>
    <cellStyle name="常规 2 15 2" xfId="330"/>
    <cellStyle name="常规 2 15 2 2" xfId="335"/>
    <cellStyle name="常规 2 15 2 2 2" xfId="3191"/>
    <cellStyle name="常规 2 15 2 2 2 2" xfId="3192"/>
    <cellStyle name="常规 2 15 2 2 3" xfId="3193"/>
    <cellStyle name="常规 2 15 2 3" xfId="3194"/>
    <cellStyle name="常规 2 15 2 3 2" xfId="3195"/>
    <cellStyle name="常规 2 15 2 4" xfId="2340"/>
    <cellStyle name="常规 2 15 2 4 2" xfId="2342"/>
    <cellStyle name="常规 2 15 2 5" xfId="2345"/>
    <cellStyle name="常规 2 15 3" xfId="339"/>
    <cellStyle name="常规 2 15 3 2" xfId="3198"/>
    <cellStyle name="常规 2 15 3 2 2" xfId="3200"/>
    <cellStyle name="常规 2 15 3 3" xfId="3202"/>
    <cellStyle name="常规 2 15 3 3 2" xfId="3204"/>
    <cellStyle name="常规 2 15 3 4" xfId="2353"/>
    <cellStyle name="常规 2 15 4" xfId="3206"/>
    <cellStyle name="常规 2 15 4 2" xfId="3209"/>
    <cellStyle name="常规 2 15 4 2 2" xfId="3211"/>
    <cellStyle name="常规 2 15 4 3" xfId="3213"/>
    <cellStyle name="常规 2 15 5" xfId="1730"/>
    <cellStyle name="常规 2 15 5 2" xfId="2427"/>
    <cellStyle name="常规 2 15 6" xfId="2434"/>
    <cellStyle name="常规 2 16" xfId="3214"/>
    <cellStyle name="常规 2 16 2" xfId="3216"/>
    <cellStyle name="常规 2 16 2 2" xfId="3218"/>
    <cellStyle name="常规 2 16 3" xfId="368"/>
    <cellStyle name="常规 2 16 3 2" xfId="3221"/>
    <cellStyle name="常规 2 17" xfId="3223"/>
    <cellStyle name="常规 2 17 2" xfId="3225"/>
    <cellStyle name="常规 2 17 2 2" xfId="3227"/>
    <cellStyle name="常规 2 17 2 2 2" xfId="3229"/>
    <cellStyle name="常规 2 17 2 3" xfId="3232"/>
    <cellStyle name="常规 2 17 3" xfId="379"/>
    <cellStyle name="常规 2 17 3 2" xfId="384"/>
    <cellStyle name="常规 2 17 4" xfId="26"/>
    <cellStyle name="常规 2 17 4 2" xfId="3234"/>
    <cellStyle name="常规 2 17 5" xfId="2444"/>
    <cellStyle name="常规 2 18" xfId="769"/>
    <cellStyle name="常规 2 18 2" xfId="772"/>
    <cellStyle name="常规 2 18 2 2" xfId="3238"/>
    <cellStyle name="常规 2 18 3" xfId="3240"/>
    <cellStyle name="常规 2 19" xfId="778"/>
    <cellStyle name="常规 2 19 2" xfId="756"/>
    <cellStyle name="常规 2 2" xfId="3241"/>
    <cellStyle name="常规 2 2 2" xfId="3243"/>
    <cellStyle name="常规 2 2 2 2" xfId="1549"/>
    <cellStyle name="常规 2 2 2 2 2" xfId="3245"/>
    <cellStyle name="常规 2 2 2 2 2 2" xfId="3247"/>
    <cellStyle name="常规 2 2 2 2 3" xfId="3249"/>
    <cellStyle name="常规 2 2 2 3" xfId="3250"/>
    <cellStyle name="常规 2 2 2 3 2" xfId="3252"/>
    <cellStyle name="常规 2 2 2 4" xfId="104"/>
    <cellStyle name="常规 2 2 2 4 2" xfId="3254"/>
    <cellStyle name="常规 2 2 2 5" xfId="89"/>
    <cellStyle name="常规 2 2 3" xfId="243"/>
    <cellStyle name="常规 2 2 3 2" xfId="1578"/>
    <cellStyle name="常规 2 2 3 2 2" xfId="3256"/>
    <cellStyle name="常规 2 2 3 3" xfId="3257"/>
    <cellStyle name="常规 2 2 3 3 2" xfId="3259"/>
    <cellStyle name="常规 2 2 3 4" xfId="645"/>
    <cellStyle name="常规 2 2 4" xfId="3260"/>
    <cellStyle name="常规 2 2 4 2" xfId="1608"/>
    <cellStyle name="常规 2 2 4 2 2" xfId="3262"/>
    <cellStyle name="常规 2 2 4 3" xfId="1457"/>
    <cellStyle name="常规 2 2 4 3 2" xfId="1460"/>
    <cellStyle name="常规 2 2 4 4" xfId="1462"/>
    <cellStyle name="常规 2 2 4_2017年人大参阅资料（代表大会-定）1.14" xfId="3264"/>
    <cellStyle name="常规 2 2 5" xfId="3171"/>
    <cellStyle name="常规 2 2 5 2" xfId="1638"/>
    <cellStyle name="常规 2 2 6" xfId="3265"/>
    <cellStyle name="常规 2 2_9、2018年市本级政府预算重点民生项目表" xfId="3266"/>
    <cellStyle name="常规 2 20" xfId="3190"/>
    <cellStyle name="常规 2 20 2" xfId="331"/>
    <cellStyle name="常规 2 21" xfId="3215"/>
    <cellStyle name="常规 2 3" xfId="2109"/>
    <cellStyle name="常规 2 3 2" xfId="3267"/>
    <cellStyle name="常规 2 3 2 2" xfId="1107"/>
    <cellStyle name="常规 2 3 2 2 2" xfId="1110"/>
    <cellStyle name="常规 2 3 2 2 2 2" xfId="3268"/>
    <cellStyle name="常规 2 3 2 2 3" xfId="3269"/>
    <cellStyle name="常规 2 3 2 2 3 2" xfId="3270"/>
    <cellStyle name="常规 2 3 2 2 4" xfId="3271"/>
    <cellStyle name="常规 2 3 2 3" xfId="1112"/>
    <cellStyle name="常规 2 3 2 3 2" xfId="1114"/>
    <cellStyle name="常规 2 3 2 4" xfId="171"/>
    <cellStyle name="常规 2 3 2 4 2" xfId="3273"/>
    <cellStyle name="常规 2 3 2 5" xfId="3274"/>
    <cellStyle name="常规 2 3 3" xfId="3275"/>
    <cellStyle name="常规 2 3 3 2" xfId="1122"/>
    <cellStyle name="常规 2 3 3 2 2" xfId="320"/>
    <cellStyle name="常规 2 3 3 3" xfId="1125"/>
    <cellStyle name="常规 2 3 3 3 2" xfId="3276"/>
    <cellStyle name="常规 2 3 3 4" xfId="3277"/>
    <cellStyle name="常规 2 3 4" xfId="3278"/>
    <cellStyle name="常规 2 3 4 2" xfId="1132"/>
    <cellStyle name="常规 2 3 4 2 2" xfId="3279"/>
    <cellStyle name="常规 2 3 4 3" xfId="1471"/>
    <cellStyle name="常规 2 3 4 3 2" xfId="3280"/>
    <cellStyle name="常规 2 3 4 4" xfId="3281"/>
    <cellStyle name="常规 2 3 5" xfId="3172"/>
    <cellStyle name="常规 2 3 5 2" xfId="2206"/>
    <cellStyle name="常规 2 3 6" xfId="3282"/>
    <cellStyle name="常规 2 4" xfId="3283"/>
    <cellStyle name="常规 2 4 2" xfId="3284"/>
    <cellStyle name="常规 2 4 2 2" xfId="2601"/>
    <cellStyle name="常规 2 4 2 2 2" xfId="3285"/>
    <cellStyle name="常规 2 4 2 2 2 2" xfId="3038"/>
    <cellStyle name="常规 2 4 2 2 3" xfId="3286"/>
    <cellStyle name="常规 2 4 2 2 3 2" xfId="3046"/>
    <cellStyle name="常规 2 4 2 2 4" xfId="3287"/>
    <cellStyle name="常规 2 4 2 3" xfId="3289"/>
    <cellStyle name="常规 2 4 2 3 2" xfId="3290"/>
    <cellStyle name="常规 2 4 2 4" xfId="2069"/>
    <cellStyle name="常规 2 4 2 4 2" xfId="225"/>
    <cellStyle name="常规 2 4 2 5" xfId="3291"/>
    <cellStyle name="常规 2 4 3" xfId="3292"/>
    <cellStyle name="常规 2 4 3 2" xfId="2621"/>
    <cellStyle name="常规 2 4 3 2 2" xfId="1247"/>
    <cellStyle name="常规 2 4 3 3" xfId="3293"/>
    <cellStyle name="常规 2 4 3 3 2" xfId="1380"/>
    <cellStyle name="常规 2 4 3 4" xfId="3294"/>
    <cellStyle name="常规 2 4 4" xfId="3295"/>
    <cellStyle name="常规 2 4 4 2" xfId="2645"/>
    <cellStyle name="常规 2 4 4 2 2" xfId="1840"/>
    <cellStyle name="常规 2 4 4 3" xfId="1477"/>
    <cellStyle name="常规 2 4 4 3 2" xfId="2005"/>
    <cellStyle name="常规 2 4 4 4" xfId="3296"/>
    <cellStyle name="常规 2 4 5" xfId="2298"/>
    <cellStyle name="常规 2 4 5 2" xfId="2670"/>
    <cellStyle name="常规 2 4 6" xfId="1341"/>
    <cellStyle name="常规 2 4_9、2018年市本级政府预算重点民生项目表" xfId="3297"/>
    <cellStyle name="常规 2 5" xfId="3298"/>
    <cellStyle name="常规 2 5 2" xfId="3299"/>
    <cellStyle name="常规 2 5 2 2" xfId="2789"/>
    <cellStyle name="常规 2 5 2 2 2" xfId="3300"/>
    <cellStyle name="常规 2 5 2 2 2 2" xfId="3301"/>
    <cellStyle name="常规 2 5 2 2 3" xfId="881"/>
    <cellStyle name="常规 2 5 2 3" xfId="3302"/>
    <cellStyle name="常规 2 5 2 3 2" xfId="2694"/>
    <cellStyle name="常规 2 5 2 4" xfId="2091"/>
    <cellStyle name="常规 2 5 2 4 2" xfId="3303"/>
    <cellStyle name="常规 2 5 2 5" xfId="3305"/>
    <cellStyle name="常规 2 5 3" xfId="2360"/>
    <cellStyle name="常规 2 5 3 2" xfId="2362"/>
    <cellStyle name="常规 2 5 3 2 2" xfId="3306"/>
    <cellStyle name="常规 2 5 3 3" xfId="3307"/>
    <cellStyle name="常规 2 5 3 3 2" xfId="3308"/>
    <cellStyle name="常规 2 5 3 4" xfId="3309"/>
    <cellStyle name="常规 2 5 4" xfId="2365"/>
    <cellStyle name="常规 2 5 4 2" xfId="3310"/>
    <cellStyle name="常规 2 5 4 2 2" xfId="3311"/>
    <cellStyle name="常规 2 5 4 3" xfId="3312"/>
    <cellStyle name="常规 2 5 5" xfId="3313"/>
    <cellStyle name="常规 2 5 5 2" xfId="842"/>
    <cellStyle name="常规 2 5 6" xfId="1632"/>
    <cellStyle name="常规 2 6" xfId="3314"/>
    <cellStyle name="常规 2 6 2" xfId="3315"/>
    <cellStyle name="常规 2 6 2 2" xfId="3316"/>
    <cellStyle name="常规 2 6 2 2 2" xfId="3304"/>
    <cellStyle name="常规 2 6 2 2 2 2" xfId="3317"/>
    <cellStyle name="常规 2 6 2 2 3" xfId="3318"/>
    <cellStyle name="常规 2 6 2 3" xfId="3320"/>
    <cellStyle name="常规 2 6 2 3 2" xfId="3323"/>
    <cellStyle name="常规 2 6 2 4" xfId="3325"/>
    <cellStyle name="常规 2 6 2 4 2" xfId="3327"/>
    <cellStyle name="常规 2 6 2 5" xfId="3330"/>
    <cellStyle name="常规 2 6 3" xfId="2368"/>
    <cellStyle name="常规 2 6 3 2" xfId="3331"/>
    <cellStyle name="常规 2 6 3 2 2" xfId="3329"/>
    <cellStyle name="常规 2 6 3 3" xfId="3333"/>
    <cellStyle name="常规 2 6 3 3 2" xfId="3336"/>
    <cellStyle name="常规 2 6 3 4" xfId="3338"/>
    <cellStyle name="常规 2 6 4" xfId="3339"/>
    <cellStyle name="常规 2 6 4 2" xfId="3340"/>
    <cellStyle name="常规 2 6 4 2 2" xfId="3342"/>
    <cellStyle name="常规 2 6 4 3" xfId="3344"/>
    <cellStyle name="常规 2 6 5" xfId="3345"/>
    <cellStyle name="常规 2 6 5 2" xfId="3346"/>
    <cellStyle name="常规 2 6 6" xfId="3347"/>
    <cellStyle name="常规 2 7" xfId="2877"/>
    <cellStyle name="常规 2 7 2" xfId="2881"/>
    <cellStyle name="常规 2 7 2 2" xfId="577"/>
    <cellStyle name="常规 2 7 2 2 2" xfId="3349"/>
    <cellStyle name="常规 2 7 2 2 2 2" xfId="1448"/>
    <cellStyle name="常规 2 7 2 2 3" xfId="3350"/>
    <cellStyle name="常规 2 7 2 3" xfId="3351"/>
    <cellStyle name="常规 2 7 2 3 2" xfId="3352"/>
    <cellStyle name="常规 2 7 2 4" xfId="3353"/>
    <cellStyle name="常规 2 7 2 4 2" xfId="3355"/>
    <cellStyle name="常规 2 7 2 5" xfId="3341"/>
    <cellStyle name="常规 2 7 3" xfId="2373"/>
    <cellStyle name="常规 2 7 3 2" xfId="3356"/>
    <cellStyle name="常规 2 7 3 2 2" xfId="3358"/>
    <cellStyle name="常规 2 7 3 3" xfId="3359"/>
    <cellStyle name="常规 2 7 3 3 2" xfId="3360"/>
    <cellStyle name="常规 2 7 3 4" xfId="3361"/>
    <cellStyle name="常规 2 7 4" xfId="3362"/>
    <cellStyle name="常规 2 7 4 2" xfId="3363"/>
    <cellStyle name="常规 2 7 4 2 2" xfId="3366"/>
    <cellStyle name="常规 2 7 4 3" xfId="3367"/>
    <cellStyle name="常规 2 7 5" xfId="3368"/>
    <cellStyle name="常规 2 7 5 2" xfId="3369"/>
    <cellStyle name="常规 2 7 6" xfId="3370"/>
    <cellStyle name="常规 2 8" xfId="2885"/>
    <cellStyle name="常规 2 8 2" xfId="2888"/>
    <cellStyle name="常规 2 8 2 2" xfId="1668"/>
    <cellStyle name="常规 2 8 2 2 2" xfId="1673"/>
    <cellStyle name="常规 2 8 2 2 2 2" xfId="1558"/>
    <cellStyle name="常规 2 8 2 2 3" xfId="3371"/>
    <cellStyle name="常规 2 8 2 3" xfId="1677"/>
    <cellStyle name="常规 2 8 2 3 2" xfId="1680"/>
    <cellStyle name="常规 2 8 2 4" xfId="1683"/>
    <cellStyle name="常规 2 8 2 4 2" xfId="3372"/>
    <cellStyle name="常规 2 8 2 5" xfId="3373"/>
    <cellStyle name="常规 2 8 3" xfId="3375"/>
    <cellStyle name="常规 2 8 3 2" xfId="1692"/>
    <cellStyle name="常规 2 8 3 2 2" xfId="1697"/>
    <cellStyle name="常规 2 8 3 3" xfId="1703"/>
    <cellStyle name="常规 2 8 3 3 2" xfId="3377"/>
    <cellStyle name="常规 2 8 3 4" xfId="3379"/>
    <cellStyle name="常规 2 8 4" xfId="3382"/>
    <cellStyle name="常规 2 8 4 2" xfId="1710"/>
    <cellStyle name="常规 2 8 4 2 2" xfId="3384"/>
    <cellStyle name="常规 2 8 4 3" xfId="3386"/>
    <cellStyle name="常规 2 8 5" xfId="3389"/>
    <cellStyle name="常规 2 8 5 2" xfId="3392"/>
    <cellStyle name="常规 2 8 6" xfId="3395"/>
    <cellStyle name="常规 2 9" xfId="2891"/>
    <cellStyle name="常规 2 9 2" xfId="2894"/>
    <cellStyle name="常规 2 9 2 2" xfId="3396"/>
    <cellStyle name="常规 2 9 2 2 2" xfId="2942"/>
    <cellStyle name="常规 2 9 2 2 2 2" xfId="2145"/>
    <cellStyle name="常规 2 9 2 2 3" xfId="2950"/>
    <cellStyle name="常规 2 9 2 3" xfId="3397"/>
    <cellStyle name="常规 2 9 2 3 2" xfId="2871"/>
    <cellStyle name="常规 2 9 2 4" xfId="3398"/>
    <cellStyle name="常规 2 9 2 4 2" xfId="3004"/>
    <cellStyle name="常规 2 9 2 5" xfId="3399"/>
    <cellStyle name="常规 2 9 3" xfId="3400"/>
    <cellStyle name="常规 2 9 3 2" xfId="3402"/>
    <cellStyle name="常规 2 9 3 2 2" xfId="2734"/>
    <cellStyle name="常规 2 9 3 3" xfId="3404"/>
    <cellStyle name="常规 2 9 3 3 2" xfId="3071"/>
    <cellStyle name="常规 2 9 3 4" xfId="3405"/>
    <cellStyle name="常规 2 9 4" xfId="3407"/>
    <cellStyle name="常规 2 9 4 2" xfId="3411"/>
    <cellStyle name="常规 2 9 4 2 2" xfId="3084"/>
    <cellStyle name="常规 2 9 4 3" xfId="3413"/>
    <cellStyle name="常规 2 9 5" xfId="3415"/>
    <cellStyle name="常规 2 9 5 2" xfId="3418"/>
    <cellStyle name="常规 2 9 6" xfId="3420"/>
    <cellStyle name="常规 2_2012年度湖南省省级国有资本经营预算表" xfId="1143"/>
    <cellStyle name="常规 20" xfId="663"/>
    <cellStyle name="常规 20 2" xfId="808"/>
    <cellStyle name="常规 20 2 2" xfId="2839"/>
    <cellStyle name="常规 20 2 2 2" xfId="2841"/>
    <cellStyle name="常规 20 2 2 2 2" xfId="2843"/>
    <cellStyle name="常规 20 2 2 3" xfId="2846"/>
    <cellStyle name="常规 20 2 3" xfId="2848"/>
    <cellStyle name="常规 20 2 3 2" xfId="2850"/>
    <cellStyle name="常规 20 2 4" xfId="2852"/>
    <cellStyle name="常规 20 2 4 2" xfId="2855"/>
    <cellStyle name="常规 20 2 5" xfId="970"/>
    <cellStyle name="常规 20 3" xfId="2858"/>
    <cellStyle name="常规 20 3 2" xfId="564"/>
    <cellStyle name="常规 20 3 2 2" xfId="711"/>
    <cellStyle name="常规 20 3 3" xfId="2861"/>
    <cellStyle name="常规 20 4" xfId="2864"/>
    <cellStyle name="常规 20 4 2" xfId="14"/>
    <cellStyle name="常规 20 5" xfId="2868"/>
    <cellStyle name="常规 20 5 2" xfId="2870"/>
    <cellStyle name="常规 20 6" xfId="1181"/>
    <cellStyle name="常规 21" xfId="813"/>
    <cellStyle name="常规 21 2" xfId="818"/>
    <cellStyle name="常规 21 2 2" xfId="990"/>
    <cellStyle name="常规 21 2 2 2" xfId="2876"/>
    <cellStyle name="常规 21 2 2 2 2" xfId="2880"/>
    <cellStyle name="常规 21 2 2 3" xfId="2883"/>
    <cellStyle name="常规 21 2 3" xfId="993"/>
    <cellStyle name="常规 21 2 3 2" xfId="2898"/>
    <cellStyle name="常规 21 2 4" xfId="2908"/>
    <cellStyle name="常规 21 2 4 2" xfId="2913"/>
    <cellStyle name="常规 21 2 5" xfId="2918"/>
    <cellStyle name="常规 21 3" xfId="2925"/>
    <cellStyle name="常规 21 3 2" xfId="2928"/>
    <cellStyle name="常规 21 3 2 2" xfId="2931"/>
    <cellStyle name="常规 21 3 3" xfId="2945"/>
    <cellStyle name="常规 21 4" xfId="2961"/>
    <cellStyle name="常规 21 4 2" xfId="2964"/>
    <cellStyle name="常规 21 5" xfId="2994"/>
    <cellStyle name="常规 21 5 2" xfId="2996"/>
    <cellStyle name="常规 21 6" xfId="1187"/>
    <cellStyle name="常规 22" xfId="825"/>
    <cellStyle name="常规 22 2" xfId="411"/>
    <cellStyle name="常规 22 2 2" xfId="3054"/>
    <cellStyle name="常规 22 2 2 2" xfId="3056"/>
    <cellStyle name="常规 22 2 2 2 2" xfId="3058"/>
    <cellStyle name="常规 22 2 2 3" xfId="3062"/>
    <cellStyle name="常规 22 2 3" xfId="1086"/>
    <cellStyle name="常规 22 2 3 2" xfId="3065"/>
    <cellStyle name="常规 22 2 4" xfId="1723"/>
    <cellStyle name="常规 22 2 4 2" xfId="3067"/>
    <cellStyle name="常规 22 2 5" xfId="3069"/>
    <cellStyle name="常规 22 3" xfId="2732"/>
    <cellStyle name="常规 22 3 2" xfId="1065"/>
    <cellStyle name="常规 22 3 2 2" xfId="1070"/>
    <cellStyle name="常规 22 3 3" xfId="2738"/>
    <cellStyle name="常规 22 4" xfId="2741"/>
    <cellStyle name="常规 22 4 2" xfId="2745"/>
    <cellStyle name="常规 22 5" xfId="2748"/>
    <cellStyle name="常规 22 5 2" xfId="2751"/>
    <cellStyle name="常规 22 6" xfId="2754"/>
    <cellStyle name="常规 22_2017年重点项目预算方案(汇总)1107许市长 2" xfId="3421"/>
    <cellStyle name="常规 23" xfId="1860"/>
    <cellStyle name="常规 23 2" xfId="1863"/>
    <cellStyle name="常规 23 3" xfId="1875"/>
    <cellStyle name="常规 23 3 2" xfId="1879"/>
    <cellStyle name="常规 23 4" xfId="1883"/>
    <cellStyle name="常规 23 5" xfId="1302"/>
    <cellStyle name="常规 24" xfId="1889"/>
    <cellStyle name="常规 24 2" xfId="1892"/>
    <cellStyle name="常规 24 3" xfId="1898"/>
    <cellStyle name="常规 24 3 2" xfId="1901"/>
    <cellStyle name="常规 25" xfId="626"/>
    <cellStyle name="常规 25 2" xfId="631"/>
    <cellStyle name="常规 25 3" xfId="1909"/>
    <cellStyle name="常规 25 3 2" xfId="2466"/>
    <cellStyle name="常规 26" xfId="80"/>
    <cellStyle name="常规 26 2" xfId="30"/>
    <cellStyle name="常规 26 3" xfId="116"/>
    <cellStyle name="常规 26 3 2" xfId="84"/>
    <cellStyle name="常规 27" xfId="616"/>
    <cellStyle name="常规 27 2" xfId="3422"/>
    <cellStyle name="常规 28" xfId="3424"/>
    <cellStyle name="常规 28 2" xfId="3426"/>
    <cellStyle name="常规 29" xfId="3428"/>
    <cellStyle name="常规 29 2" xfId="3430"/>
    <cellStyle name="常规 29 4" xfId="137"/>
    <cellStyle name="常规 3" xfId="3432"/>
    <cellStyle name="常规 3 10" xfId="3433"/>
    <cellStyle name="常规 3 10 2" xfId="3434"/>
    <cellStyle name="常规 3 10 2 2" xfId="3435"/>
    <cellStyle name="常规 3 10 2 2 2" xfId="96"/>
    <cellStyle name="常规 3 10 2 3" xfId="3436"/>
    <cellStyle name="常规 3 10 3" xfId="3437"/>
    <cellStyle name="常规 3 10 3 2" xfId="2421"/>
    <cellStyle name="常规 3 10 4" xfId="3438"/>
    <cellStyle name="常规 3 10 4 2" xfId="2448"/>
    <cellStyle name="常规 3 10 5" xfId="3440"/>
    <cellStyle name="常规 3 11" xfId="3441"/>
    <cellStyle name="常规 3 11 2" xfId="3442"/>
    <cellStyle name="常规 3 11 2 2" xfId="3444"/>
    <cellStyle name="常规 3 11 3" xfId="3446"/>
    <cellStyle name="常规 3 11 3 2" xfId="2513"/>
    <cellStyle name="常规 3 11 4" xfId="3364"/>
    <cellStyle name="常规 3 12" xfId="3448"/>
    <cellStyle name="常规 3 12 2" xfId="3449"/>
    <cellStyle name="常规 3 12 2 2" xfId="3451"/>
    <cellStyle name="常规 3 12 3" xfId="3453"/>
    <cellStyle name="常规 3 12 3 2" xfId="2594"/>
    <cellStyle name="常规 3 12 4" xfId="3455"/>
    <cellStyle name="常规 3 13" xfId="3456"/>
    <cellStyle name="常规 3 13 2" xfId="3457"/>
    <cellStyle name="常规 3 14" xfId="3459"/>
    <cellStyle name="常规 3 2" xfId="3319"/>
    <cellStyle name="常规 3 2 2" xfId="3322"/>
    <cellStyle name="常规 3 2 2 2" xfId="3460"/>
    <cellStyle name="常规 3 2 2 2 2" xfId="3461"/>
    <cellStyle name="常规 3 2 2 2 2 2" xfId="3462"/>
    <cellStyle name="常规 3 2 2 2 2 2 2" xfId="3465"/>
    <cellStyle name="常规 3 2 2 2 2 3" xfId="3466"/>
    <cellStyle name="常规 3 2 2 2 3" xfId="3467"/>
    <cellStyle name="常规 3 2 2 2 3 2" xfId="2533"/>
    <cellStyle name="常规 3 2 2 2 4" xfId="3468"/>
    <cellStyle name="常规 3 2 2 2 4 2" xfId="3469"/>
    <cellStyle name="常规 3 2 2 2 5" xfId="3470"/>
    <cellStyle name="常规 3 2 2 3" xfId="3104"/>
    <cellStyle name="常规 3 2 2 3 2" xfId="863"/>
    <cellStyle name="常规 3 2 2 3 2 2" xfId="3106"/>
    <cellStyle name="常规 3 2 2 3 3" xfId="3110"/>
    <cellStyle name="常规 3 2 2 3 3 2" xfId="3112"/>
    <cellStyle name="常规 3 2 2 3 4" xfId="3114"/>
    <cellStyle name="常规 3 2 2 4" xfId="674"/>
    <cellStyle name="常规 3 2 2 4 2" xfId="678"/>
    <cellStyle name="常规 3 2 2 4 2 2" xfId="2237"/>
    <cellStyle name="常规 3 2 2 4 3" xfId="926"/>
    <cellStyle name="常规 3 2 2 4 3 2" xfId="931"/>
    <cellStyle name="常规 3 2 2 4 4" xfId="934"/>
    <cellStyle name="常规 3 2 2 5" xfId="684"/>
    <cellStyle name="常规 3 2 2 5 2" xfId="3118"/>
    <cellStyle name="常规 3 2 2 6" xfId="3121"/>
    <cellStyle name="常规 3 2 3" xfId="3471"/>
    <cellStyle name="常规 3 2 3 2" xfId="3472"/>
    <cellStyle name="常规 3 2 3 2 2" xfId="887"/>
    <cellStyle name="常规 3 2 3 2 2 2" xfId="3473"/>
    <cellStyle name="常规 3 2 3 2 2 2 2" xfId="3474"/>
    <cellStyle name="常规 3 2 3 2 2 3" xfId="3475"/>
    <cellStyle name="常规 3 2 3 2 3" xfId="3476"/>
    <cellStyle name="常规 3 2 3 2 3 2" xfId="3477"/>
    <cellStyle name="常规 3 2 3 2 4" xfId="3478"/>
    <cellStyle name="常规 3 2 3 2 4 2" xfId="3479"/>
    <cellStyle name="常规 3 2 3 2 5" xfId="3480"/>
    <cellStyle name="常规 3 2 3 3" xfId="3125"/>
    <cellStyle name="常规 3 2 3 3 2" xfId="3127"/>
    <cellStyle name="常规 3 2 3 3 2 2" xfId="3129"/>
    <cellStyle name="常规 3 2 3 3 3" xfId="3133"/>
    <cellStyle name="常规 3 2 3 3 3 2" xfId="3135"/>
    <cellStyle name="常规 3 2 3 3 4" xfId="3137"/>
    <cellStyle name="常规 3 2 3 4" xfId="3140"/>
    <cellStyle name="常规 3 2 3 4 2" xfId="3142"/>
    <cellStyle name="常规 3 2 3 4 2 2" xfId="3145"/>
    <cellStyle name="常规 3 2 3 4 3" xfId="949"/>
    <cellStyle name="常规 3 2 3 5" xfId="3147"/>
    <cellStyle name="常规 3 2 3 5 2" xfId="3149"/>
    <cellStyle name="常规 3 2 3 6" xfId="3153"/>
    <cellStyle name="常规 3 2 4" xfId="3481"/>
    <cellStyle name="常规 3 2 4 2" xfId="3482"/>
    <cellStyle name="常规 3 2 4 2 2" xfId="3483"/>
    <cellStyle name="常规 3 2 4 2 2 2" xfId="3484"/>
    <cellStyle name="常规 3 2 4 2 2 2 2" xfId="3485"/>
    <cellStyle name="常规 3 2 4 2 2 3" xfId="3486"/>
    <cellStyle name="常规 3 2 4 2 3" xfId="3487"/>
    <cellStyle name="常规 3 2 4 2 3 2" xfId="3488"/>
    <cellStyle name="常规 3 2 4 2 4" xfId="2270"/>
    <cellStyle name="常规 3 2 4 2 4 2" xfId="2272"/>
    <cellStyle name="常规 3 2 4 2 5" xfId="2275"/>
    <cellStyle name="常规 3 2 4 3" xfId="1492"/>
    <cellStyle name="常规 3 2 4 3 2" xfId="3157"/>
    <cellStyle name="常规 3 2 4 3 2 2" xfId="3159"/>
    <cellStyle name="常规 3 2 4 3 3" xfId="3162"/>
    <cellStyle name="常规 3 2 4 3 3 2" xfId="3164"/>
    <cellStyle name="常规 3 2 4 3 4" xfId="2286"/>
    <cellStyle name="常规 3 2 4 4" xfId="3166"/>
    <cellStyle name="常规 3 2 4 4 2" xfId="3168"/>
    <cellStyle name="常规 3 2 4 4 2 2" xfId="3170"/>
    <cellStyle name="常规 3 2 4 4 3" xfId="977"/>
    <cellStyle name="常规 3 2 4 5" xfId="3175"/>
    <cellStyle name="常规 3 2 4 5 2" xfId="5"/>
    <cellStyle name="常规 3 2 4 6" xfId="3177"/>
    <cellStyle name="常规 3 2 5" xfId="279"/>
    <cellStyle name="常规 3 2 5 2" xfId="282"/>
    <cellStyle name="常规 3 2 5 2 2" xfId="286"/>
    <cellStyle name="常规 3 2 5 2 2 2" xfId="597"/>
    <cellStyle name="常规 3 2 5 2 3" xfId="3489"/>
    <cellStyle name="常规 3 2 5 3" xfId="291"/>
    <cellStyle name="常规 3 2 5 3 2" xfId="295"/>
    <cellStyle name="常规 3 2 5 4" xfId="299"/>
    <cellStyle name="常规 3 2 5 4 2" xfId="304"/>
    <cellStyle name="常规 3 2 5 5" xfId="318"/>
    <cellStyle name="常规 3 2 6" xfId="100"/>
    <cellStyle name="常规 3 2 6 2" xfId="126"/>
    <cellStyle name="常规 3 2 6 2 2" xfId="328"/>
    <cellStyle name="常规 3 2 6 3" xfId="332"/>
    <cellStyle name="常规 3 2 6 3 2" xfId="336"/>
    <cellStyle name="常规 3 2 6 4" xfId="340"/>
    <cellStyle name="常规 3 2 7" xfId="349"/>
    <cellStyle name="常规 3 2 7 2" xfId="353"/>
    <cellStyle name="常规 3 2 7 2 2" xfId="3490"/>
    <cellStyle name="常规 3 2 7 3" xfId="3217"/>
    <cellStyle name="常规 3 2 7 3 2" xfId="3219"/>
    <cellStyle name="常规 3 2 7 4" xfId="369"/>
    <cellStyle name="常规 3 2 8" xfId="357"/>
    <cellStyle name="常规 3 2 8 2" xfId="3491"/>
    <cellStyle name="常规 3 2 9" xfId="3492"/>
    <cellStyle name="常规 3 2_9、2018年市本级政府预算重点民生项目表" xfId="2099"/>
    <cellStyle name="常规 3 3" xfId="3324"/>
    <cellStyle name="常规 3 3 2" xfId="3326"/>
    <cellStyle name="常规 3 3 2 2" xfId="3493"/>
    <cellStyle name="常规 3 3 2 2 2" xfId="3495"/>
    <cellStyle name="常规 3 3 2 2 2 2" xfId="3497"/>
    <cellStyle name="常规 3 3 2 2 2 2 2" xfId="3207"/>
    <cellStyle name="常规 3 3 2 2 2 3" xfId="3498"/>
    <cellStyle name="常规 3 3 2 2 3" xfId="3501"/>
    <cellStyle name="常规 3 3 2 2 3 2" xfId="3502"/>
    <cellStyle name="常规 3 3 2 2 4" xfId="3503"/>
    <cellStyle name="常规 3 3 2 2 4 2" xfId="3504"/>
    <cellStyle name="常规 3 3 2 2 5" xfId="3505"/>
    <cellStyle name="常规 3 3 2 3" xfId="3506"/>
    <cellStyle name="常规 3 3 2 3 2" xfId="3507"/>
    <cellStyle name="常规 3 3 2 3 2 2" xfId="3508"/>
    <cellStyle name="常规 3 3 2 3 3" xfId="3509"/>
    <cellStyle name="常规 3 3 2 3 3 2" xfId="423"/>
    <cellStyle name="常规 3 3 2 3 4" xfId="3510"/>
    <cellStyle name="常规 3 3 2 4" xfId="39"/>
    <cellStyle name="常规 3 3 2 4 2" xfId="3511"/>
    <cellStyle name="常规 3 3 2 4 2 2" xfId="3512"/>
    <cellStyle name="常规 3 3 2 4 3" xfId="3513"/>
    <cellStyle name="常规 3 3 2 4 3 2" xfId="3514"/>
    <cellStyle name="常规 3 3 2 4 4" xfId="3515"/>
    <cellStyle name="常规 3 3 2 5" xfId="3517"/>
    <cellStyle name="常规 3 3 2 5 2" xfId="155"/>
    <cellStyle name="常规 3 3 2 6" xfId="3518"/>
    <cellStyle name="常规 3 3 3" xfId="3519"/>
    <cellStyle name="常规 3 3 3 2" xfId="3520"/>
    <cellStyle name="常规 3 3 3 2 2" xfId="214"/>
    <cellStyle name="常规 3 3 3 2 2 2" xfId="3521"/>
    <cellStyle name="常规 3 3 3 2 2 2 2" xfId="3523"/>
    <cellStyle name="常规 3 3 3 2 2 3" xfId="2815"/>
    <cellStyle name="常规 3 3 3 2 3" xfId="3524"/>
    <cellStyle name="常规 3 3 3 2 3 2" xfId="3525"/>
    <cellStyle name="常规 3 3 3 2 4" xfId="3526"/>
    <cellStyle name="常规 3 3 3 2 4 2" xfId="3439"/>
    <cellStyle name="常规 3 3 3 2 5" xfId="3527"/>
    <cellStyle name="常规 3 3 3 3" xfId="3528"/>
    <cellStyle name="常规 3 3 3 3 2" xfId="3529"/>
    <cellStyle name="常规 3 3 3 3 2 2" xfId="3530"/>
    <cellStyle name="常规 3 3 3 3 3" xfId="1077"/>
    <cellStyle name="常规 3 3 3 3 3 2" xfId="3531"/>
    <cellStyle name="常规 3 3 3 3 4" xfId="3532"/>
    <cellStyle name="常规 3 3 3 4" xfId="3533"/>
    <cellStyle name="常规 3 3 3 4 2" xfId="3534"/>
    <cellStyle name="常规 3 3 3 4 2 2" xfId="694"/>
    <cellStyle name="常规 3 3 3 4 3" xfId="3535"/>
    <cellStyle name="常规 3 3 3 5" xfId="3536"/>
    <cellStyle name="常规 3 3 3 5 2" xfId="3537"/>
    <cellStyle name="常规 3 3 3 6" xfId="3538"/>
    <cellStyle name="常规 3 3 4" xfId="3539"/>
    <cellStyle name="常规 3 3 4 2" xfId="3540"/>
    <cellStyle name="常规 3 3 4 2 2" xfId="268"/>
    <cellStyle name="常规 3 3 4 2 2 2" xfId="3543"/>
    <cellStyle name="常规 3 3 4 2 2 2 2" xfId="3544"/>
    <cellStyle name="常规 3 3 4 2 2 3" xfId="3546"/>
    <cellStyle name="常规 3 3 4 2 3" xfId="3549"/>
    <cellStyle name="常规 3 3 4 2 3 2" xfId="3552"/>
    <cellStyle name="常规 3 3 4 2 4" xfId="8"/>
    <cellStyle name="常规 3 3 4 2 4 2" xfId="2398"/>
    <cellStyle name="常规 3 3 4 2 5" xfId="554"/>
    <cellStyle name="常规 3 3 4 3" xfId="3554"/>
    <cellStyle name="常规 3 3 4 3 2" xfId="3555"/>
    <cellStyle name="常规 3 3 4 3 2 2" xfId="3556"/>
    <cellStyle name="常规 3 3 4 3 3" xfId="3557"/>
    <cellStyle name="常规 3 3 4 3 3 2" xfId="3558"/>
    <cellStyle name="常规 3 3 4 3 4" xfId="2412"/>
    <cellStyle name="常规 3 3 4 4" xfId="3559"/>
    <cellStyle name="常规 3 3 4 4 2" xfId="3560"/>
    <cellStyle name="常规 3 3 4 4 2 2" xfId="3561"/>
    <cellStyle name="常规 3 3 4 4 3" xfId="3562"/>
    <cellStyle name="常规 3 3 4 5" xfId="3563"/>
    <cellStyle name="常规 3 3 4 5 2" xfId="3564"/>
    <cellStyle name="常规 3 3 4 6" xfId="3565"/>
    <cellStyle name="常规 3 3 5" xfId="360"/>
    <cellStyle name="常规 3 3 5 2" xfId="362"/>
    <cellStyle name="常规 3 3 5 2 2" xfId="338"/>
    <cellStyle name="常规 3 3 5 2 2 2" xfId="3197"/>
    <cellStyle name="常规 3 3 5 2 3" xfId="3205"/>
    <cellStyle name="常规 3 3 5 3" xfId="364"/>
    <cellStyle name="常规 3 3 5 3 2" xfId="367"/>
    <cellStyle name="常规 3 3 5 4" xfId="371"/>
    <cellStyle name="常规 3 3 5 4 2" xfId="378"/>
    <cellStyle name="常规 3 3 5 5" xfId="387"/>
    <cellStyle name="常规 3 3 6" xfId="395"/>
    <cellStyle name="常规 3 3 6 2" xfId="397"/>
    <cellStyle name="常规 3 3 6 2 2" xfId="400"/>
    <cellStyle name="常规 3 3 6 3" xfId="403"/>
    <cellStyle name="常规 3 3 6 3 2" xfId="407"/>
    <cellStyle name="常规 3 3 6 4" xfId="399"/>
    <cellStyle name="常规 3 3 7" xfId="415"/>
    <cellStyle name="常规 3 3 7 2" xfId="54"/>
    <cellStyle name="常规 3 3 7 2 2" xfId="64"/>
    <cellStyle name="常规 3 3 7 3" xfId="3566"/>
    <cellStyle name="常规 3 3 7 3 2" xfId="3567"/>
    <cellStyle name="常规 3 3 7 4" xfId="406"/>
    <cellStyle name="常规 3 3 8" xfId="45"/>
    <cellStyle name="常规 3 3 8 2" xfId="3568"/>
    <cellStyle name="常规 3 3 9" xfId="3569"/>
    <cellStyle name="常规 3 4" xfId="3328"/>
    <cellStyle name="常规 3 4 2" xfId="3570"/>
    <cellStyle name="常规 3 4 2 2" xfId="3571"/>
    <cellStyle name="常规 3 4 2 2 2" xfId="3572"/>
    <cellStyle name="常规 3 4 2 2 2 2" xfId="3573"/>
    <cellStyle name="常规 3 4 2 2 2 2 2" xfId="2309"/>
    <cellStyle name="常规 3 4 2 2 2 3" xfId="3574"/>
    <cellStyle name="常规 3 4 2 2 3" xfId="3575"/>
    <cellStyle name="常规 3 4 2 2 3 2" xfId="3576"/>
    <cellStyle name="常规 3 4 2 2 4" xfId="3577"/>
    <cellStyle name="常规 3 4 2 2 4 2" xfId="3578"/>
    <cellStyle name="常规 3 4 2 2 5" xfId="3579"/>
    <cellStyle name="常规 3 4 2 3" xfId="3580"/>
    <cellStyle name="常规 3 4 2 3 2" xfId="3581"/>
    <cellStyle name="常规 3 4 2 3 2 2" xfId="3582"/>
    <cellStyle name="常规 3 4 2 3 3" xfId="3583"/>
    <cellStyle name="常规 3 4 2 3 3 2" xfId="1390"/>
    <cellStyle name="常规 3 4 2 3 4" xfId="3584"/>
    <cellStyle name="常规 3 4 2 4" xfId="3585"/>
    <cellStyle name="常规 3 4 2 4 2" xfId="3586"/>
    <cellStyle name="常规 3 4 2 4 2 2" xfId="3587"/>
    <cellStyle name="常规 3 4 2 4 3" xfId="3588"/>
    <cellStyle name="常规 3 4 2 5" xfId="3589"/>
    <cellStyle name="常规 3 4 2 5 2" xfId="3590"/>
    <cellStyle name="常规 3 4 2 6" xfId="866"/>
    <cellStyle name="常规 3 4 3" xfId="20"/>
    <cellStyle name="常规 3 4 3 2" xfId="3591"/>
    <cellStyle name="常规 3 4 3 2 2" xfId="3380"/>
    <cellStyle name="常规 3 4 3 2 2 2" xfId="1708"/>
    <cellStyle name="常规 3 4 3 2 2 2 2" xfId="3383"/>
    <cellStyle name="常规 3 4 3 2 2 3" xfId="3385"/>
    <cellStyle name="常规 3 4 3 2 3" xfId="3387"/>
    <cellStyle name="常规 3 4 3 2 3 2" xfId="3390"/>
    <cellStyle name="常规 3 4 3 2 4" xfId="3393"/>
    <cellStyle name="常规 3 4 3 2 4 2" xfId="3592"/>
    <cellStyle name="常规 3 4 3 2 5" xfId="3593"/>
    <cellStyle name="常规 3 4 3 3" xfId="3594"/>
    <cellStyle name="常规 3 4 3 3 2" xfId="3406"/>
    <cellStyle name="常规 3 4 3 3 2 2" xfId="3410"/>
    <cellStyle name="常规 3 4 3 3 3" xfId="3414"/>
    <cellStyle name="常规 3 4 3 3 3 2" xfId="3417"/>
    <cellStyle name="常规 3 4 3 3 4" xfId="3419"/>
    <cellStyle name="常规 3 4 3 4" xfId="3595"/>
    <cellStyle name="常规 3 4 3 4 2" xfId="3596"/>
    <cellStyle name="常规 3 4 3 4 2 2" xfId="3598"/>
    <cellStyle name="常规 3 4 3 4 3" xfId="3599"/>
    <cellStyle name="常规 3 4 3 5" xfId="1653"/>
    <cellStyle name="常规 3 4 3 5 2" xfId="3600"/>
    <cellStyle name="常规 3 4 3 6" xfId="3601"/>
    <cellStyle name="常规 3 4 4" xfId="3602"/>
    <cellStyle name="常规 3 4 4 2" xfId="3603"/>
    <cellStyle name="常规 3 4 4 2 2" xfId="3605"/>
    <cellStyle name="常规 3 4 4 2 2 2" xfId="1255"/>
    <cellStyle name="常规 3 4 4 2 2 2 2" xfId="3607"/>
    <cellStyle name="常规 3 4 4 2 2 3" xfId="3609"/>
    <cellStyle name="常规 3 4 4 2 3" xfId="3611"/>
    <cellStyle name="常规 3 4 4 2 3 2" xfId="3613"/>
    <cellStyle name="常规 3 4 4 2 4" xfId="2489"/>
    <cellStyle name="常规 3 4 4 2 4 2" xfId="2491"/>
    <cellStyle name="常规 3 4 4 2 5" xfId="2496"/>
    <cellStyle name="常规 3 4 4 3" xfId="3614"/>
    <cellStyle name="常规 3 4 4 3 2" xfId="2"/>
    <cellStyle name="常规 3 4 4 3 2 2" xfId="71"/>
    <cellStyle name="常规 3 4 4 3 3" xfId="3616"/>
    <cellStyle name="常规 3 4 4 3 3 2" xfId="3618"/>
    <cellStyle name="常规 3 4 4 3 4" xfId="2503"/>
    <cellStyle name="常规 3 4 4 4" xfId="3619"/>
    <cellStyle name="常规 3 4 4 4 2" xfId="1095"/>
    <cellStyle name="常规 3 4 4 4 2 2" xfId="1511"/>
    <cellStyle name="常规 3 4 4 4 3" xfId="3620"/>
    <cellStyle name="常规 3 4 4 5" xfId="3621"/>
    <cellStyle name="常规 3 4 4 5 2" xfId="3622"/>
    <cellStyle name="常规 3 4 4 6" xfId="3624"/>
    <cellStyle name="常规 3 4 5" xfId="417"/>
    <cellStyle name="常规 3 4 5 2" xfId="420"/>
    <cellStyle name="常规 3 4 5 2 2" xfId="428"/>
    <cellStyle name="常规 3 4 5 2 2 2" xfId="1846"/>
    <cellStyle name="常规 3 4 5 2 3" xfId="3625"/>
    <cellStyle name="常规 3 4 5 3" xfId="431"/>
    <cellStyle name="常规 3 4 5 3 2" xfId="436"/>
    <cellStyle name="常规 3 4 5 4" xfId="440"/>
    <cellStyle name="常规 3 4 5 4 2" xfId="3627"/>
    <cellStyle name="常规 3 4 5 5" xfId="3628"/>
    <cellStyle name="常规 3 4 6" xfId="444"/>
    <cellStyle name="常规 3 4 6 2" xfId="449"/>
    <cellStyle name="常规 3 4 6 2 2" xfId="454"/>
    <cellStyle name="常规 3 4 6 3" xfId="58"/>
    <cellStyle name="常规 3 4 6 3 2" xfId="459"/>
    <cellStyle name="常规 3 4 6 4" xfId="63"/>
    <cellStyle name="常规 3 4 7" xfId="467"/>
    <cellStyle name="常规 3 4 7 2" xfId="472"/>
    <cellStyle name="常规 3 4 7 2 2" xfId="3630"/>
    <cellStyle name="常规 3 4 7 3" xfId="3631"/>
    <cellStyle name="常规 3 4 8" xfId="477"/>
    <cellStyle name="常规 3 4 8 2" xfId="3632"/>
    <cellStyle name="常规 3 4 9" xfId="3633"/>
    <cellStyle name="常规 3 5" xfId="3634"/>
    <cellStyle name="常规 3 5 2" xfId="3635"/>
    <cellStyle name="常规 3 5 2 2" xfId="1580"/>
    <cellStyle name="常规 3 5 2 2 2" xfId="1582"/>
    <cellStyle name="常规 3 5 2 2 2 2" xfId="1584"/>
    <cellStyle name="常规 3 5 2 2 3" xfId="1596"/>
    <cellStyle name="常规 3 5 2 3" xfId="1610"/>
    <cellStyle name="常规 3 5 2 3 2" xfId="1612"/>
    <cellStyle name="常规 3 5 2 4" xfId="1640"/>
    <cellStyle name="常规 3 5 2 4 2" xfId="1418"/>
    <cellStyle name="常规 3 5 2 5" xfId="3348"/>
    <cellStyle name="常规 3 5 3" xfId="2378"/>
    <cellStyle name="常规 3 5 3 2" xfId="2161"/>
    <cellStyle name="常规 3 5 3 2 2" xfId="1010"/>
    <cellStyle name="常规 3 5 3 3" xfId="2184"/>
    <cellStyle name="常规 3 5 3 3 2" xfId="1018"/>
    <cellStyle name="常规 3 5 3 4" xfId="2208"/>
    <cellStyle name="常规 3 5 4" xfId="3636"/>
    <cellStyle name="常规 3 5 4 2" xfId="2623"/>
    <cellStyle name="常规 3 5 4 2 2" xfId="2625"/>
    <cellStyle name="常规 3 5 4 3" xfId="2647"/>
    <cellStyle name="常规 3 5 5" xfId="481"/>
    <cellStyle name="常规 3 5 5 2" xfId="487"/>
    <cellStyle name="常规 3 5 6" xfId="511"/>
    <cellStyle name="常规 3 6" xfId="3637"/>
    <cellStyle name="常规 3 6 2" xfId="3231"/>
    <cellStyle name="常规 3 6 2 2" xfId="3638"/>
    <cellStyle name="常规 3 6 2 2 2" xfId="3639"/>
    <cellStyle name="常规 3 6 2 2 2 2" xfId="3640"/>
    <cellStyle name="常规 3 6 2 2 3" xfId="3641"/>
    <cellStyle name="常规 3 6 2 3" xfId="3642"/>
    <cellStyle name="常规 3 6 2 3 2" xfId="643"/>
    <cellStyle name="常规 3 6 2 4" xfId="3643"/>
    <cellStyle name="常规 3 6 2 4 2" xfId="109"/>
    <cellStyle name="常规 3 6 2 5" xfId="3357"/>
    <cellStyle name="常规 3 6 3" xfId="2381"/>
    <cellStyle name="常规 3 6 3 2" xfId="3644"/>
    <cellStyle name="常规 3 6 3 2 2" xfId="3645"/>
    <cellStyle name="常规 3 6 3 3" xfId="3646"/>
    <cellStyle name="常规 3 6 3 3 2" xfId="668"/>
    <cellStyle name="常规 3 6 3 4" xfId="3647"/>
    <cellStyle name="常规 3 6 4" xfId="2607"/>
    <cellStyle name="常规 3 6 4 2" xfId="3648"/>
    <cellStyle name="常规 3 6 4 2 2" xfId="3649"/>
    <cellStyle name="常规 3 6 4 3" xfId="3650"/>
    <cellStyle name="常规 3 6 5" xfId="3651"/>
    <cellStyle name="常规 3 6 5 2" xfId="1200"/>
    <cellStyle name="常规 3 6 6" xfId="3652"/>
    <cellStyle name="常规 3 7" xfId="2896"/>
    <cellStyle name="常规 3 7 2" xfId="2899"/>
    <cellStyle name="常规 3 7 2 2" xfId="3653"/>
    <cellStyle name="常规 3 7 2 2 2" xfId="3655"/>
    <cellStyle name="常规 3 7 2 2 2 2" xfId="3656"/>
    <cellStyle name="常规 3 7 2 2 3" xfId="3657"/>
    <cellStyle name="常规 3 7 2 3" xfId="3443"/>
    <cellStyle name="常规 3 7 2 3 2" xfId="3445"/>
    <cellStyle name="常规 3 7 2 4" xfId="3447"/>
    <cellStyle name="常规 3 7 2 4 2" xfId="2514"/>
    <cellStyle name="常规 3 7 2 5" xfId="3365"/>
    <cellStyle name="常规 3 7 3" xfId="3658"/>
    <cellStyle name="常规 3 7 3 2" xfId="3659"/>
    <cellStyle name="常规 3 7 3 2 2" xfId="3660"/>
    <cellStyle name="常规 3 7 3 3" xfId="3450"/>
    <cellStyle name="常规 3 7 3 3 2" xfId="3452"/>
    <cellStyle name="常规 3 7 3 4" xfId="3454"/>
    <cellStyle name="常规 3 7 4" xfId="3661"/>
    <cellStyle name="常规 3 7 4 2" xfId="3662"/>
    <cellStyle name="常规 3 7 4 2 2" xfId="3663"/>
    <cellStyle name="常规 3 7 4 3" xfId="3458"/>
    <cellStyle name="常规 3 7 5" xfId="3664"/>
    <cellStyle name="常规 3 7 5 2" xfId="1238"/>
    <cellStyle name="常规 3 7 6" xfId="3665"/>
    <cellStyle name="常规 3 8" xfId="2901"/>
    <cellStyle name="常规 3 8 2" xfId="2903"/>
    <cellStyle name="常规 3 8 2 2" xfId="1217"/>
    <cellStyle name="常规 3 8 2 2 2" xfId="1219"/>
    <cellStyle name="常规 3 8 2 2 2 2" xfId="1221"/>
    <cellStyle name="常规 3 8 2 2 3" xfId="1224"/>
    <cellStyle name="常规 3 8 2 3" xfId="1226"/>
    <cellStyle name="常规 3 8 2 3 2" xfId="1228"/>
    <cellStyle name="常规 3 8 2 4" xfId="1230"/>
    <cellStyle name="常规 3 8 2 4 2" xfId="2774"/>
    <cellStyle name="常规 3 8 2 5" xfId="3666"/>
    <cellStyle name="常规 3 8 3" xfId="117"/>
    <cellStyle name="常规 3 8 3 2" xfId="1241"/>
    <cellStyle name="常规 3 8 3 2 2" xfId="1243"/>
    <cellStyle name="常规 3 8 3 3" xfId="1245"/>
    <cellStyle name="常规 3 8 3 3 2" xfId="3667"/>
    <cellStyle name="常规 3 8 3 4" xfId="3668"/>
    <cellStyle name="常规 3 8 4" xfId="3604"/>
    <cellStyle name="常规 3 8 4 2" xfId="1254"/>
    <cellStyle name="常规 3 8 4 2 2" xfId="3606"/>
    <cellStyle name="常规 3 8 4 3" xfId="3608"/>
    <cellStyle name="常规 3 8 5" xfId="3610"/>
    <cellStyle name="常规 3 8 5 2" xfId="3612"/>
    <cellStyle name="常规 3 8 6" xfId="2488"/>
    <cellStyle name="常规 3 9" xfId="2905"/>
    <cellStyle name="常规 3 9 2" xfId="3669"/>
    <cellStyle name="常规 3 9 2 2" xfId="1354"/>
    <cellStyle name="常规 3 9 2 2 2" xfId="1356"/>
    <cellStyle name="常规 3 9 2 2 2 2" xfId="1358"/>
    <cellStyle name="常规 3 9 2 2 3" xfId="1360"/>
    <cellStyle name="常规 3 9 2 3" xfId="1362"/>
    <cellStyle name="常规 3 9 2 3 2" xfId="1364"/>
    <cellStyle name="常规 3 9 2 4" xfId="1366"/>
    <cellStyle name="常规 3 9 2 4 2" xfId="3670"/>
    <cellStyle name="常规 3 9 2 5" xfId="3671"/>
    <cellStyle name="常规 3 9 3" xfId="3672"/>
    <cellStyle name="常规 3 9 3 2" xfId="1374"/>
    <cellStyle name="常规 3 9 3 2 2" xfId="1376"/>
    <cellStyle name="常规 3 9 3 3" xfId="1378"/>
    <cellStyle name="常规 3 9 3 3 2" xfId="3673"/>
    <cellStyle name="常规 3 9 3 4" xfId="3674"/>
    <cellStyle name="常规 3 9 4" xfId="1"/>
    <cellStyle name="常规 3 9 4 2" xfId="70"/>
    <cellStyle name="常规 3 9 4 2 2" xfId="922"/>
    <cellStyle name="常规 3 9 4 3" xfId="48"/>
    <cellStyle name="常规 3 9 5" xfId="3615"/>
    <cellStyle name="常规 3 9 5 2" xfId="3617"/>
    <cellStyle name="常规 3 9 6" xfId="2502"/>
    <cellStyle name="常规 3_7、2018年预算政府一般和专项债务限额和余额情况表" xfId="3059"/>
    <cellStyle name="常规 30" xfId="627"/>
    <cellStyle name="常规 30 2" xfId="632"/>
    <cellStyle name="常规 31" xfId="81"/>
    <cellStyle name="常规 31 2" xfId="31"/>
    <cellStyle name="常规 32" xfId="617"/>
    <cellStyle name="常规 32 2" xfId="3423"/>
    <cellStyle name="常规 33" xfId="3425"/>
    <cellStyle name="常规 33 2" xfId="3427"/>
    <cellStyle name="常规 33 2 2" xfId="3675"/>
    <cellStyle name="常规 33 2 2 2" xfId="2992"/>
    <cellStyle name="常规 33 2 3" xfId="3676"/>
    <cellStyle name="常规 33 3" xfId="2081"/>
    <cellStyle name="常规 34" xfId="3429"/>
    <cellStyle name="常规 34 2" xfId="3431"/>
    <cellStyle name="常规 35" xfId="253"/>
    <cellStyle name="常规 35 2" xfId="256"/>
    <cellStyle name="常规 36" xfId="259"/>
    <cellStyle name="常规 36 2" xfId="262"/>
    <cellStyle name="常规 37" xfId="266"/>
    <cellStyle name="常规 37 2" xfId="3541"/>
    <cellStyle name="常规 38" xfId="3547"/>
    <cellStyle name="常规 38 2" xfId="3550"/>
    <cellStyle name="常规 39" xfId="6"/>
    <cellStyle name="常规 39 2" xfId="2396"/>
    <cellStyle name="常规 4" xfId="3677"/>
    <cellStyle name="常规 4 10" xfId="3354"/>
    <cellStyle name="常规 4 10 2" xfId="3678"/>
    <cellStyle name="常规 4 11" xfId="3679"/>
    <cellStyle name="常规 4 2" xfId="3332"/>
    <cellStyle name="常规 4 2 2" xfId="3335"/>
    <cellStyle name="常规 4 2 2 2" xfId="3682"/>
    <cellStyle name="常规 4 2 2 2 2" xfId="3685"/>
    <cellStyle name="常规 4 2 2 2 2 2" xfId="3688"/>
    <cellStyle name="常规 4 2 2 2 2 2 2" xfId="2555"/>
    <cellStyle name="常规 4 2 2 2 2 3" xfId="3692"/>
    <cellStyle name="常规 4 2 2 2 3" xfId="3695"/>
    <cellStyle name="常规 4 2 2 2 3 2" xfId="3698"/>
    <cellStyle name="常规 4 2 2 2 4" xfId="3701"/>
    <cellStyle name="常规 4 2 2 2 4 2" xfId="3704"/>
    <cellStyle name="常规 4 2 2 2 5" xfId="3707"/>
    <cellStyle name="常规 4 2 2 3" xfId="49"/>
    <cellStyle name="常规 4 2 2 3 2" xfId="3708"/>
    <cellStyle name="常规 4 2 2 3 2 2" xfId="3714"/>
    <cellStyle name="常规 4 2 2 3 3" xfId="3717"/>
    <cellStyle name="常规 4 2 2 3 3 2" xfId="3720"/>
    <cellStyle name="常规 4 2 2 3 4" xfId="3723"/>
    <cellStyle name="常规 4 2 2 4" xfId="722"/>
    <cellStyle name="常规 4 2 2 4 2" xfId="3724"/>
    <cellStyle name="常规 4 2 2 4 2 2" xfId="3730"/>
    <cellStyle name="常规 4 2 2 4 3" xfId="3733"/>
    <cellStyle name="常规 4 2 2 5" xfId="3734"/>
    <cellStyle name="常规 4 2 2 5 2" xfId="1276"/>
    <cellStyle name="常规 4 2 2 6" xfId="3740"/>
    <cellStyle name="常规 4 2 3" xfId="3742"/>
    <cellStyle name="常规 4 2 3 2" xfId="3745"/>
    <cellStyle name="常规 4 2 3 2 2" xfId="3748"/>
    <cellStyle name="常规 4 2 3 2 2 2" xfId="3751"/>
    <cellStyle name="常规 4 2 3 2 2 2 2" xfId="3754"/>
    <cellStyle name="常规 4 2 3 2 2 3" xfId="791"/>
    <cellStyle name="常规 4 2 3 2 3" xfId="3757"/>
    <cellStyle name="常规 4 2 3 2 3 2" xfId="3760"/>
    <cellStyle name="常规 4 2 3 2 4" xfId="3763"/>
    <cellStyle name="常规 4 2 3 2 4 2" xfId="3766"/>
    <cellStyle name="常规 4 2 3 2 5" xfId="1674"/>
    <cellStyle name="常规 4 2 3 3" xfId="2387"/>
    <cellStyle name="常规 4 2 3 3 2" xfId="3767"/>
    <cellStyle name="常规 4 2 3 3 2 2" xfId="3771"/>
    <cellStyle name="常规 4 2 3 3 3" xfId="3773"/>
    <cellStyle name="常规 4 2 3 3 3 2" xfId="3775"/>
    <cellStyle name="常规 4 2 3 3 4" xfId="3777"/>
    <cellStyle name="常规 4 2 3 4" xfId="728"/>
    <cellStyle name="常规 4 2 3 4 2" xfId="735"/>
    <cellStyle name="常规 4 2 3 4 2 2" xfId="2819"/>
    <cellStyle name="常规 4 2 3 4 3" xfId="3779"/>
    <cellStyle name="常规 4 2 3 5" xfId="584"/>
    <cellStyle name="常规 4 2 3 5 2" xfId="1319"/>
    <cellStyle name="常规 4 2 3 6" xfId="3781"/>
    <cellStyle name="常规 4 2 4" xfId="3783"/>
    <cellStyle name="常规 4 2 4 2" xfId="3785"/>
    <cellStyle name="常规 4 2 4 2 2" xfId="3787"/>
    <cellStyle name="常规 4 2 4 2 2 2" xfId="3789"/>
    <cellStyle name="常规 4 2 4 2 2 2 2" xfId="3791"/>
    <cellStyle name="常规 4 2 4 2 2 3" xfId="1547"/>
    <cellStyle name="常规 4 2 4 2 3" xfId="3793"/>
    <cellStyle name="常规 4 2 4 2 3 2" xfId="3795"/>
    <cellStyle name="常规 4 2 4 2 4" xfId="2700"/>
    <cellStyle name="常规 4 2 4 2 4 2" xfId="2705"/>
    <cellStyle name="常规 4 2 4 2 5" xfId="1698"/>
    <cellStyle name="常规 4 2 4 3" xfId="3797"/>
    <cellStyle name="常规 4 2 4 3 2" xfId="3801"/>
    <cellStyle name="常规 4 2 4 3 2 2" xfId="3803"/>
    <cellStyle name="常规 4 2 4 3 3" xfId="3805"/>
    <cellStyle name="常规 4 2 4 3 3 2" xfId="3807"/>
    <cellStyle name="常规 4 2 4 3 4" xfId="2709"/>
    <cellStyle name="常规 4 2 4 4" xfId="3809"/>
    <cellStyle name="常规 4 2 4 4 2" xfId="3811"/>
    <cellStyle name="常规 4 2 4 4 2 2" xfId="3813"/>
    <cellStyle name="常规 4 2 4 4 3" xfId="3815"/>
    <cellStyle name="常规 4 2 4 5" xfId="3817"/>
    <cellStyle name="常规 4 2 4 5 2" xfId="1347"/>
    <cellStyle name="常规 4 2 4 6" xfId="3819"/>
    <cellStyle name="常规 4 2 5" xfId="2911"/>
    <cellStyle name="常规 4 2 5 2" xfId="588"/>
    <cellStyle name="常规 4 2 5 2 2" xfId="3821"/>
    <cellStyle name="常规 4 2 5 2 2 2" xfId="3823"/>
    <cellStyle name="常规 4 2 5 2 3" xfId="189"/>
    <cellStyle name="常规 4 2 5 3" xfId="3826"/>
    <cellStyle name="常规 4 2 5 3 2" xfId="3828"/>
    <cellStyle name="常规 4 2 5 4" xfId="1147"/>
    <cellStyle name="常规 4 2 5 4 2" xfId="1150"/>
    <cellStyle name="常规 4 2 5 5" xfId="658"/>
    <cellStyle name="常规 4 2 6" xfId="2915"/>
    <cellStyle name="常规 4 2 6 2" xfId="611"/>
    <cellStyle name="常规 4 2 6 2 2" xfId="1818"/>
    <cellStyle name="常规 4 2 6 3" xfId="3464"/>
    <cellStyle name="常规 4 2 6 3 2" xfId="1836"/>
    <cellStyle name="常规 4 2 6 4" xfId="426"/>
    <cellStyle name="常规 4 2 7" xfId="3830"/>
    <cellStyle name="常规 4 2 7 2" xfId="638"/>
    <cellStyle name="常规 4 2 7 2 2" xfId="1984"/>
    <cellStyle name="常规 4 2 7 3" xfId="3832"/>
    <cellStyle name="常规 4 2 7 3 2" xfId="2001"/>
    <cellStyle name="常规 4 2 7 4" xfId="434"/>
    <cellStyle name="常规 4 2 8" xfId="2231"/>
    <cellStyle name="常规 4 2 8 2" xfId="496"/>
    <cellStyle name="常规 4 2 9" xfId="3833"/>
    <cellStyle name="常规 4 3" xfId="3337"/>
    <cellStyle name="常规 4 3 2" xfId="3835"/>
    <cellStyle name="常规 4 3 2 2" xfId="3837"/>
    <cellStyle name="常规 4 3 2 2 2" xfId="3839"/>
    <cellStyle name="常规 4 3 2 2 2 2" xfId="3840"/>
    <cellStyle name="常规 4 3 2 2 2 2 2" xfId="3841"/>
    <cellStyle name="常规 4 3 2 2 2 3" xfId="1049"/>
    <cellStyle name="常规 4 3 2 2 3" xfId="3842"/>
    <cellStyle name="常规 4 3 2 2 3 2" xfId="3843"/>
    <cellStyle name="常规 4 3 2 2 4" xfId="562"/>
    <cellStyle name="常规 4 3 2 2 4 2" xfId="709"/>
    <cellStyle name="常规 4 3 2 2 5" xfId="2859"/>
    <cellStyle name="常规 4 3 2 3" xfId="3845"/>
    <cellStyle name="常规 4 3 2 3 2" xfId="3847"/>
    <cellStyle name="常规 4 3 2 3 2 2" xfId="3848"/>
    <cellStyle name="常规 4 3 2 3 3" xfId="3849"/>
    <cellStyle name="常规 4 3 2 3 3 2" xfId="3850"/>
    <cellStyle name="常规 4 3 2 3 4" xfId="13"/>
    <cellStyle name="常规 4 3 2 4" xfId="749"/>
    <cellStyle name="常规 4 3 2 4 2" xfId="3851"/>
    <cellStyle name="常规 4 3 2 4 2 2" xfId="3853"/>
    <cellStyle name="常规 4 3 2 4 3" xfId="3854"/>
    <cellStyle name="常规 4 3 2 5" xfId="3855"/>
    <cellStyle name="常规 4 3 2 5 2" xfId="1401"/>
    <cellStyle name="常规 4 3 2 6" xfId="3856"/>
    <cellStyle name="常规 4 3 3" xfId="3859"/>
    <cellStyle name="常规 4 3 3 2" xfId="3862"/>
    <cellStyle name="常规 4 3 3 2 2" xfId="3864"/>
    <cellStyle name="常规 4 3 3 2 2 2" xfId="3865"/>
    <cellStyle name="常规 4 3 3 2 2 2 2" xfId="24"/>
    <cellStyle name="常规 4 3 3 2 2 3" xfId="3866"/>
    <cellStyle name="常规 4 3 3 2 3" xfId="983"/>
    <cellStyle name="常规 4 3 3 2 3 2" xfId="3867"/>
    <cellStyle name="常规 4 3 3 2 4" xfId="2926"/>
    <cellStyle name="常规 4 3 3 2 4 2" xfId="2929"/>
    <cellStyle name="常规 4 3 3 2 5" xfId="2943"/>
    <cellStyle name="常规 4 3 3 3" xfId="2043"/>
    <cellStyle name="常规 4 3 3 3 2" xfId="3868"/>
    <cellStyle name="常规 4 3 3 3 2 2" xfId="3869"/>
    <cellStyle name="常规 4 3 3 3 3" xfId="3870"/>
    <cellStyle name="常规 4 3 3 3 3 2" xfId="3871"/>
    <cellStyle name="常规 4 3 3 3 4" xfId="2962"/>
    <cellStyle name="常规 4 3 3 4" xfId="3872"/>
    <cellStyle name="常规 4 3 3 4 2" xfId="3873"/>
    <cellStyle name="常规 4 3 3 4 2 2" xfId="3874"/>
    <cellStyle name="常规 4 3 3 4 3" xfId="3875"/>
    <cellStyle name="常规 4 3 3 5" xfId="3876"/>
    <cellStyle name="常规 4 3 3 5 2" xfId="1431"/>
    <cellStyle name="常规 4 3 3 6" xfId="3877"/>
    <cellStyle name="常规 4 3 4" xfId="721"/>
    <cellStyle name="常规 4 3 4 2" xfId="3879"/>
    <cellStyle name="常规 4 3 4 2 2" xfId="3880"/>
    <cellStyle name="常规 4 3 4 2 2 2" xfId="3881"/>
    <cellStyle name="常规 4 3 4 2 2 2 2" xfId="3883"/>
    <cellStyle name="常规 4 3 4 2 2 3" xfId="3884"/>
    <cellStyle name="常规 4 3 4 2 3" xfId="1059"/>
    <cellStyle name="常规 4 3 4 2 3 2" xfId="3885"/>
    <cellStyle name="常规 4 3 4 2 4" xfId="1062"/>
    <cellStyle name="常规 4 3 4 2 4 2" xfId="1067"/>
    <cellStyle name="常规 4 3 4 2 5" xfId="2735"/>
    <cellStyle name="常规 4 3 4 3" xfId="3887"/>
    <cellStyle name="常规 4 3 4 3 2" xfId="83"/>
    <cellStyle name="常规 4 3 4 3 2 2" xfId="3888"/>
    <cellStyle name="常规 4 3 4 3 3" xfId="3889"/>
    <cellStyle name="常规 4 3 4 3 3 2" xfId="885"/>
    <cellStyle name="常规 4 3 4 3 4" xfId="2742"/>
    <cellStyle name="常规 4 3 4 4" xfId="3890"/>
    <cellStyle name="常规 4 3 4 4 2" xfId="3891"/>
    <cellStyle name="常规 4 3 4 4 2 2" xfId="705"/>
    <cellStyle name="常规 4 3 4 4 3" xfId="3892"/>
    <cellStyle name="常规 4 3 4 5" xfId="3893"/>
    <cellStyle name="常规 4 3 4 5 2" xfId="1464"/>
    <cellStyle name="常规 4 3 4 6" xfId="3894"/>
    <cellStyle name="常规 4 3 5" xfId="2920"/>
    <cellStyle name="常规 4 3 5 2" xfId="3896"/>
    <cellStyle name="常规 4 3 5 2 2" xfId="3897"/>
    <cellStyle name="常规 4 3 5 2 2 2" xfId="3899"/>
    <cellStyle name="常规 4 3 5 2 3" xfId="3522"/>
    <cellStyle name="常规 4 3 5 3" xfId="2531"/>
    <cellStyle name="常规 4 3 5 3 2" xfId="3900"/>
    <cellStyle name="常规 4 3 5 4" xfId="1154"/>
    <cellStyle name="常规 4 3 5 4 2" xfId="3901"/>
    <cellStyle name="常规 4 3 5 5" xfId="3902"/>
    <cellStyle name="常规 4 3 6" xfId="3904"/>
    <cellStyle name="常规 4 3 6 2" xfId="3905"/>
    <cellStyle name="常规 4 3 6 2 2" xfId="2350"/>
    <cellStyle name="常规 4 3 6 3" xfId="3906"/>
    <cellStyle name="常规 4 3 6 3 2" xfId="2370"/>
    <cellStyle name="常规 4 3 6 4" xfId="452"/>
    <cellStyle name="常规 4 3 7" xfId="3907"/>
    <cellStyle name="常规 4 3 7 2" xfId="3908"/>
    <cellStyle name="常规 4 3 7 2 2" xfId="2459"/>
    <cellStyle name="常规 4 3 7 3" xfId="3909"/>
    <cellStyle name="常规 4 3 8" xfId="3910"/>
    <cellStyle name="常规 4 3 8 2" xfId="3911"/>
    <cellStyle name="常规 4 3 9" xfId="3912"/>
    <cellStyle name="常规 4 4" xfId="3334"/>
    <cellStyle name="常规 4 4 2" xfId="3681"/>
    <cellStyle name="常规 4 4 2 2" xfId="3684"/>
    <cellStyle name="常规 4 4 2 2 2" xfId="3687"/>
    <cellStyle name="常规 4 4 2 2 2 2" xfId="2554"/>
    <cellStyle name="常规 4 4 2 2 2 2 2" xfId="1781"/>
    <cellStyle name="常规 4 4 2 2 2 3" xfId="2569"/>
    <cellStyle name="常规 4 4 2 2 3" xfId="3691"/>
    <cellStyle name="常规 4 4 2 2 3 2" xfId="2599"/>
    <cellStyle name="常规 4 4 2 2 4" xfId="3914"/>
    <cellStyle name="常规 4 4 2 2 4 2" xfId="2618"/>
    <cellStyle name="常规 4 4 2 2 5" xfId="3916"/>
    <cellStyle name="常规 4 4 2 3" xfId="3694"/>
    <cellStyle name="常规 4 4 2 3 2" xfId="3697"/>
    <cellStyle name="常规 4 4 2 3 2 2" xfId="2779"/>
    <cellStyle name="常规 4 4 2 3 3" xfId="3918"/>
    <cellStyle name="常规 4 4 2 3 3 2" xfId="2787"/>
    <cellStyle name="常规 4 4 2 3 4" xfId="3920"/>
    <cellStyle name="常规 4 4 2 4" xfId="3700"/>
    <cellStyle name="常规 4 4 2 4 2" xfId="3703"/>
    <cellStyle name="常规 4 4 2 4 2 2" xfId="3922"/>
    <cellStyle name="常规 4 4 2 4 3" xfId="3924"/>
    <cellStyle name="常规 4 4 2 5" xfId="3706"/>
    <cellStyle name="常规 4 4 2 5 2" xfId="1527"/>
    <cellStyle name="常规 4 4 2 6" xfId="3927"/>
    <cellStyle name="常规 4 4 3" xfId="52"/>
    <cellStyle name="常规 4 4 3 2" xfId="3711"/>
    <cellStyle name="常规 4 4 3 2 2" xfId="3713"/>
    <cellStyle name="常规 4 4 3 2 2 2" xfId="3929"/>
    <cellStyle name="常规 4 4 3 2 2 2 2" xfId="2324"/>
    <cellStyle name="常规 4 4 3 2 2 3" xfId="3930"/>
    <cellStyle name="常规 4 4 3 2 3" xfId="3932"/>
    <cellStyle name="常规 4 4 3 2 3 2" xfId="3933"/>
    <cellStyle name="常规 4 4 3 2 4" xfId="3934"/>
    <cellStyle name="常规 4 4 3 2 4 2" xfId="3935"/>
    <cellStyle name="常规 4 4 3 2 5" xfId="766"/>
    <cellStyle name="常规 4 4 3 3" xfId="3716"/>
    <cellStyle name="常规 4 4 3 3 2" xfId="3719"/>
    <cellStyle name="常规 4 4 3 3 2 2" xfId="3936"/>
    <cellStyle name="常规 4 4 3 3 3" xfId="3937"/>
    <cellStyle name="常规 4 4 3 3 3 2" xfId="1551"/>
    <cellStyle name="常规 4 4 3 3 4" xfId="3938"/>
    <cellStyle name="常规 4 4 3 4" xfId="3722"/>
    <cellStyle name="常规 4 4 3 4 2" xfId="3940"/>
    <cellStyle name="常规 4 4 3 4 2 2" xfId="3941"/>
    <cellStyle name="常规 4 4 3 4 3" xfId="3942"/>
    <cellStyle name="常规 4 4 3 5" xfId="3944"/>
    <cellStyle name="常规 4 4 3 5 2" xfId="3945"/>
    <cellStyle name="常规 4 4 3 6" xfId="3946"/>
    <cellStyle name="常规 4 4 4" xfId="726"/>
    <cellStyle name="常规 4 4 4 2" xfId="3727"/>
    <cellStyle name="常规 4 4 4 2 2" xfId="3729"/>
    <cellStyle name="常规 4 4 4 2 2 2" xfId="3947"/>
    <cellStyle name="常规 4 4 4 2 2 2 2" xfId="3948"/>
    <cellStyle name="常规 4 4 4 2 2 3" xfId="3949"/>
    <cellStyle name="常规 4 4 4 2 3" xfId="3951"/>
    <cellStyle name="常规 4 4 4 2 3 2" xfId="3952"/>
    <cellStyle name="常规 4 4 4 2 4" xfId="2764"/>
    <cellStyle name="常规 4 4 4 2 4 2" xfId="680"/>
    <cellStyle name="常规 4 4 4 2 5" xfId="2767"/>
    <cellStyle name="常规 4 4 4 3" xfId="3732"/>
    <cellStyle name="常规 4 4 4 3 2" xfId="3954"/>
    <cellStyle name="常规 4 4 4 3 2 2" xfId="3955"/>
    <cellStyle name="常规 4 4 4 3 3" xfId="3956"/>
    <cellStyle name="常规 4 4 4 3 3 2" xfId="3957"/>
    <cellStyle name="常规 4 4 4 3 4" xfId="2770"/>
    <cellStyle name="常规 4 4 4 4" xfId="3959"/>
    <cellStyle name="常规 4 4 4 4 2" xfId="3960"/>
    <cellStyle name="常规 4 4 4 4 2 2" xfId="3961"/>
    <cellStyle name="常规 4 4 4 4 3" xfId="3962"/>
    <cellStyle name="常规 4 4 4 5" xfId="3963"/>
    <cellStyle name="常规 4 4 4 5 2" xfId="3964"/>
    <cellStyle name="常规 4 4 4 6" xfId="3965"/>
    <cellStyle name="常规 4 4 5" xfId="3737"/>
    <cellStyle name="常规 4 4 5 2" xfId="1275"/>
    <cellStyle name="常规 4 4 5 2 2" xfId="1279"/>
    <cellStyle name="常规 4 4 5 2 2 2" xfId="3966"/>
    <cellStyle name="常规 4 4 5 2 3" xfId="3967"/>
    <cellStyle name="常规 4 4 5 3" xfId="1282"/>
    <cellStyle name="常规 4 4 5 3 2" xfId="1285"/>
    <cellStyle name="常规 4 4 5 4" xfId="1160"/>
    <cellStyle name="常规 4 4 5 4 2" xfId="3968"/>
    <cellStyle name="常规 4 4 5 5" xfId="3969"/>
    <cellStyle name="常规 4 4 6" xfId="3739"/>
    <cellStyle name="常规 4 4 6 2" xfId="1292"/>
    <cellStyle name="常规 4 4 6 2 2" xfId="1294"/>
    <cellStyle name="常规 4 4 6 3" xfId="1296"/>
    <cellStyle name="常规 4 4 6 3 2" xfId="131"/>
    <cellStyle name="常规 4 4 6 4" xfId="3629"/>
    <cellStyle name="常规 4 4 7" xfId="3971"/>
    <cellStyle name="常规 4 4 7 2" xfId="1305"/>
    <cellStyle name="常规 4 4 7 2 2" xfId="3972"/>
    <cellStyle name="常规 4 4 7 3" xfId="3973"/>
    <cellStyle name="常规 4 4 8" xfId="3974"/>
    <cellStyle name="常规 4 4 8 2" xfId="3975"/>
    <cellStyle name="常规 4 4 9" xfId="3976"/>
    <cellStyle name="常规 4 5" xfId="3741"/>
    <cellStyle name="常规 4 5 2" xfId="3744"/>
    <cellStyle name="常规 4 5 2 2" xfId="3747"/>
    <cellStyle name="常规 4 5 2 2 2" xfId="3750"/>
    <cellStyle name="常规 4 5 2 2 2 2" xfId="3753"/>
    <cellStyle name="常规 4 5 2 2 3" xfId="790"/>
    <cellStyle name="常规 4 5 2 3" xfId="3756"/>
    <cellStyle name="常规 4 5 2 3 2" xfId="3759"/>
    <cellStyle name="常规 4 5 2 4" xfId="3762"/>
    <cellStyle name="常规 4 5 2 4 2" xfId="3765"/>
    <cellStyle name="常规 4 5 2 5" xfId="1671"/>
    <cellStyle name="常规 4 5 3" xfId="2389"/>
    <cellStyle name="常规 4 5 3 2" xfId="3769"/>
    <cellStyle name="常规 4 5 3 2 2" xfId="3770"/>
    <cellStyle name="常规 4 5 3 3" xfId="3772"/>
    <cellStyle name="常规 4 5 3 3 2" xfId="3774"/>
    <cellStyle name="常规 4 5 3 4" xfId="3776"/>
    <cellStyle name="常规 4 5 4" xfId="731"/>
    <cellStyle name="常规 4 5 4 2" xfId="734"/>
    <cellStyle name="常规 4 5 4 2 2" xfId="2817"/>
    <cellStyle name="常规 4 5 4 3" xfId="3778"/>
    <cellStyle name="常规 4 5 5" xfId="583"/>
    <cellStyle name="常规 4 5 5 2" xfId="1318"/>
    <cellStyle name="常规 4 5 6" xfId="3780"/>
    <cellStyle name="常规 4 6" xfId="3782"/>
    <cellStyle name="常规 4 6 2" xfId="3784"/>
    <cellStyle name="常规 4 6 2 2" xfId="3786"/>
    <cellStyle name="常规 4 6 2 2 2" xfId="3788"/>
    <cellStyle name="常规 4 6 2 2 2 2" xfId="3790"/>
    <cellStyle name="常规 4 6 2 2 3" xfId="1546"/>
    <cellStyle name="常规 4 6 2 3" xfId="3792"/>
    <cellStyle name="常规 4 6 2 3 2" xfId="3794"/>
    <cellStyle name="常规 4 6 2 4" xfId="2699"/>
    <cellStyle name="常规 4 6 2 4 2" xfId="2704"/>
    <cellStyle name="常规 4 6 2 5" xfId="1695"/>
    <cellStyle name="常规 4 6 3" xfId="3799"/>
    <cellStyle name="常规 4 6 3 2" xfId="3800"/>
    <cellStyle name="常规 4 6 3 2 2" xfId="3802"/>
    <cellStyle name="常规 4 6 3 3" xfId="3804"/>
    <cellStyle name="常规 4 6 3 3 2" xfId="3806"/>
    <cellStyle name="常规 4 6 3 4" xfId="2708"/>
    <cellStyle name="常规 4 6 4" xfId="3808"/>
    <cellStyle name="常规 4 6 4 2" xfId="3810"/>
    <cellStyle name="常规 4 6 4 2 2" xfId="3812"/>
    <cellStyle name="常规 4 6 4 3" xfId="3814"/>
    <cellStyle name="常规 4 6 5" xfId="3816"/>
    <cellStyle name="常规 4 6 5 2" xfId="1346"/>
    <cellStyle name="常规 4 6 6" xfId="3818"/>
    <cellStyle name="常规 4 7" xfId="2910"/>
    <cellStyle name="常规 4 7 2" xfId="586"/>
    <cellStyle name="常规 4 7 2 2" xfId="3820"/>
    <cellStyle name="常规 4 7 2 2 2" xfId="3822"/>
    <cellStyle name="常规 4 7 2 3" xfId="188"/>
    <cellStyle name="常规 4 7 3" xfId="3824"/>
    <cellStyle name="常规 4 7 3 2" xfId="3827"/>
    <cellStyle name="常规 4 7 4" xfId="1146"/>
    <cellStyle name="常规 4 7 4 2" xfId="1149"/>
    <cellStyle name="常规 4 7 5" xfId="657"/>
    <cellStyle name="常规 4 8" xfId="2914"/>
    <cellStyle name="常规 4 8 2" xfId="609"/>
    <cellStyle name="常规 4 8 2 2" xfId="1817"/>
    <cellStyle name="常规 4 8 3" xfId="3463"/>
    <cellStyle name="常规 4 8 3 2" xfId="1835"/>
    <cellStyle name="常规 4 8 4" xfId="425"/>
    <cellStyle name="常规 4 9" xfId="3829"/>
    <cellStyle name="常规 4 9 2" xfId="636"/>
    <cellStyle name="常规 4 9 2 2" xfId="1983"/>
    <cellStyle name="常规 4 9 3" xfId="3831"/>
    <cellStyle name="常规 4 9 3 2" xfId="2000"/>
    <cellStyle name="常规 4 9 4" xfId="433"/>
    <cellStyle name="常规 4_9、2018年市本级政府预算重点民生项目表" xfId="1481"/>
    <cellStyle name="常规 40" xfId="254"/>
    <cellStyle name="常规 40 2" xfId="257"/>
    <cellStyle name="常规 41" xfId="260"/>
    <cellStyle name="常规 41 2" xfId="263"/>
    <cellStyle name="常规 42" xfId="267"/>
    <cellStyle name="常规 42 2" xfId="3542"/>
    <cellStyle name="常规 42 3" xfId="3545"/>
    <cellStyle name="常规 42 4" xfId="3898"/>
    <cellStyle name="常规 43" xfId="3548"/>
    <cellStyle name="常规 43 2" xfId="3551"/>
    <cellStyle name="常规 43 2 2" xfId="3977"/>
    <cellStyle name="常规 43 2 2 2" xfId="3500"/>
    <cellStyle name="常规 43 2 3" xfId="2029"/>
    <cellStyle name="常规 43 3" xfId="1072"/>
    <cellStyle name="常规 43 3 2" xfId="1074"/>
    <cellStyle name="常规 43 4" xfId="3978"/>
    <cellStyle name="常规 43 4 2" xfId="3979"/>
    <cellStyle name="常规 43 5" xfId="3494"/>
    <cellStyle name="常规 43 5 2" xfId="3496"/>
    <cellStyle name="常规 43 6" xfId="3499"/>
    <cellStyle name="常规 44" xfId="7"/>
    <cellStyle name="常规 44 2" xfId="2397"/>
    <cellStyle name="常规 45" xfId="552"/>
    <cellStyle name="常规 45 2" xfId="2402"/>
    <cellStyle name="常规 46" xfId="2405"/>
    <cellStyle name="常规 46 2" xfId="2408"/>
    <cellStyle name="常规 47" xfId="1413"/>
    <cellStyle name="常规 47 2" xfId="3980"/>
    <cellStyle name="常规 47 3" xfId="2194"/>
    <cellStyle name="常规 47 4" xfId="2212"/>
    <cellStyle name="常规 48" xfId="3982"/>
    <cellStyle name="常规 48 2" xfId="3984"/>
    <cellStyle name="常规 49" xfId="2062"/>
    <cellStyle name="常规 49 2" xfId="3987"/>
    <cellStyle name="常规 5" xfId="3990"/>
    <cellStyle name="常规 5 2" xfId="3343"/>
    <cellStyle name="常规 5 2 2" xfId="3991"/>
    <cellStyle name="常规 5 2 2 2" xfId="3992"/>
    <cellStyle name="常规 5 2 2 2 2" xfId="2856"/>
    <cellStyle name="常规 5 2 2 3" xfId="3993"/>
    <cellStyle name="常规 5 2 2 3 2" xfId="2923"/>
    <cellStyle name="常规 5 2 2 4" xfId="2728"/>
    <cellStyle name="常规 5 2 3" xfId="3994"/>
    <cellStyle name="常规 5 2 3 2" xfId="3995"/>
    <cellStyle name="常规 5 2 4" xfId="2149"/>
    <cellStyle name="常规 5 2 4 2" xfId="3996"/>
    <cellStyle name="常规 5 2 5" xfId="2952"/>
    <cellStyle name="常规 5 3" xfId="3997"/>
    <cellStyle name="常规 5 3 2" xfId="3998"/>
    <cellStyle name="常规 5 3 2 2" xfId="3999"/>
    <cellStyle name="常规 5 3 3" xfId="1398"/>
    <cellStyle name="常规 5 3 3 2" xfId="4000"/>
    <cellStyle name="常规 5 3 4" xfId="743"/>
    <cellStyle name="常规 5 4" xfId="3834"/>
    <cellStyle name="常规 5 4 2" xfId="3836"/>
    <cellStyle name="常规 5 4 2 2" xfId="3838"/>
    <cellStyle name="常规 5 4 3" xfId="3844"/>
    <cellStyle name="常规 5 4 3 2" xfId="3846"/>
    <cellStyle name="常规 5 4 4" xfId="748"/>
    <cellStyle name="常规 5 5" xfId="3858"/>
    <cellStyle name="常规 5 5 2" xfId="3861"/>
    <cellStyle name="常规 5 6" xfId="719"/>
    <cellStyle name="常规 50" xfId="553"/>
    <cellStyle name="常规 50 2" xfId="2403"/>
    <cellStyle name="常规 51" xfId="2406"/>
    <cellStyle name="常规 51 2" xfId="2409"/>
    <cellStyle name="常规 52" xfId="1414"/>
    <cellStyle name="常规 52 2" xfId="3981"/>
    <cellStyle name="常规 52 3" xfId="2195"/>
    <cellStyle name="常规 52 4" xfId="2213"/>
    <cellStyle name="常规 53" xfId="3983"/>
    <cellStyle name="常规 53 2" xfId="3985"/>
    <cellStyle name="常规 54" xfId="2063"/>
    <cellStyle name="常规 54 2" xfId="3988"/>
    <cellStyle name="常规 55" xfId="4002"/>
    <cellStyle name="常规 55 2" xfId="4004"/>
    <cellStyle name="常规 56" xfId="2547"/>
    <cellStyle name="常规 56 2" xfId="4007"/>
    <cellStyle name="常规 56 3" xfId="1210"/>
    <cellStyle name="常规 57" xfId="928"/>
    <cellStyle name="常规 57 2" xfId="4009"/>
    <cellStyle name="常规 58" xfId="4011"/>
    <cellStyle name="常规 58 2" xfId="4013"/>
    <cellStyle name="常规 58 3" xfId="4014"/>
    <cellStyle name="常规 59" xfId="4015"/>
    <cellStyle name="常规 59 2" xfId="2192"/>
    <cellStyle name="常规 59 3" xfId="2197"/>
    <cellStyle name="常规 6" xfId="4017"/>
    <cellStyle name="常规 6 2" xfId="4018"/>
    <cellStyle name="常规 6 2 2" xfId="4019"/>
    <cellStyle name="常规 6 2 2 2" xfId="4020"/>
    <cellStyle name="常规 6 2 2 2 2" xfId="4021"/>
    <cellStyle name="常规 6 2 2 2 2 2" xfId="3926"/>
    <cellStyle name="常规 6 2 2 2 3" xfId="4022"/>
    <cellStyle name="常规 6 2 2 3" xfId="4023"/>
    <cellStyle name="常规 6 2 2 3 2" xfId="4024"/>
    <cellStyle name="常规 6 2 2 4" xfId="4025"/>
    <cellStyle name="常规 6 2 2 4 2" xfId="4026"/>
    <cellStyle name="常规 6 2 2 5" xfId="4027"/>
    <cellStyle name="常规 6 2 3" xfId="4028"/>
    <cellStyle name="常规 6 2 3 2" xfId="4029"/>
    <cellStyle name="常规 6 2 3 2 2" xfId="3154"/>
    <cellStyle name="常规 6 2 3 3" xfId="2578"/>
    <cellStyle name="常规 6 2 3 3 2" xfId="3178"/>
    <cellStyle name="常规 6 2 3 4" xfId="4030"/>
    <cellStyle name="常规 6 2 4" xfId="2155"/>
    <cellStyle name="常规 6 2 4 2" xfId="4031"/>
    <cellStyle name="常规 6 2 4 2 2" xfId="4032"/>
    <cellStyle name="常规 6 2 4 3" xfId="1140"/>
    <cellStyle name="常规 6 2 4 3 2" xfId="1142"/>
    <cellStyle name="常规 6 2 4 4" xfId="1266"/>
    <cellStyle name="常规 6 2 5" xfId="2981"/>
    <cellStyle name="常规 6 2 5 2" xfId="2983"/>
    <cellStyle name="常规 6 2 6" xfId="2985"/>
    <cellStyle name="常规 6 3" xfId="4033"/>
    <cellStyle name="常规 6 3 2" xfId="3950"/>
    <cellStyle name="常规 6 3 2 2" xfId="4034"/>
    <cellStyle name="常规 6 3 2 2 2" xfId="462"/>
    <cellStyle name="常规 6 3 2 2 2 2" xfId="534"/>
    <cellStyle name="常规 6 3 2 2 3" xfId="539"/>
    <cellStyle name="常规 6 3 2 3" xfId="3986"/>
    <cellStyle name="常规 6 3 2 3 2" xfId="4035"/>
    <cellStyle name="常规 6 3 2 4" xfId="4036"/>
    <cellStyle name="常规 6 3 2 4 2" xfId="4037"/>
    <cellStyle name="常规 6 3 2 5" xfId="4038"/>
    <cellStyle name="常规 6 3 3" xfId="4039"/>
    <cellStyle name="常规 6 3 3 2" xfId="4040"/>
    <cellStyle name="常规 6 3 3 2 2" xfId="4041"/>
    <cellStyle name="常规 6 3 3 3" xfId="3989"/>
    <cellStyle name="常规 6 3 3 3 2" xfId="4042"/>
    <cellStyle name="常规 6 3 3 4" xfId="4043"/>
    <cellStyle name="常规 6 3 4" xfId="1030"/>
    <cellStyle name="常规 6 3 4 2" xfId="4044"/>
    <cellStyle name="常规 6 3 4 2 2" xfId="4045"/>
    <cellStyle name="常规 6 3 4 3" xfId="4005"/>
    <cellStyle name="常规 6 3 5" xfId="2988"/>
    <cellStyle name="常规 6 3 5 2" xfId="4046"/>
    <cellStyle name="常规 6 3 6" xfId="4047"/>
    <cellStyle name="常规 6 4" xfId="3680"/>
    <cellStyle name="常规 6 4 2" xfId="3683"/>
    <cellStyle name="常规 6 4 2 2" xfId="3686"/>
    <cellStyle name="常规 6 4 2 2 2" xfId="2553"/>
    <cellStyle name="常规 6 4 2 2 2 2" xfId="1780"/>
    <cellStyle name="常规 6 4 2 2 3" xfId="2568"/>
    <cellStyle name="常规 6 4 2 3" xfId="3690"/>
    <cellStyle name="常规 6 4 2 3 2" xfId="2598"/>
    <cellStyle name="常规 6 4 2 4" xfId="3913"/>
    <cellStyle name="常规 6 4 2 4 2" xfId="2617"/>
    <cellStyle name="常规 6 4 2 5" xfId="3915"/>
    <cellStyle name="常规 6 4 3" xfId="3693"/>
    <cellStyle name="常规 6 4 3 2" xfId="3696"/>
    <cellStyle name="常规 6 4 3 2 2" xfId="2778"/>
    <cellStyle name="常规 6 4 3 3" xfId="3917"/>
    <cellStyle name="常规 6 4 3 3 2" xfId="2785"/>
    <cellStyle name="常规 6 4 3 4" xfId="3919"/>
    <cellStyle name="常规 6 4 4" xfId="3699"/>
    <cellStyle name="常规 6 4 4 2" xfId="3702"/>
    <cellStyle name="常规 6 4 4 2 2" xfId="3921"/>
    <cellStyle name="常规 6 4 4 3" xfId="3923"/>
    <cellStyle name="常规 6 4 5" xfId="3705"/>
    <cellStyle name="常规 6 4 5 2" xfId="1526"/>
    <cellStyle name="常规 6 4 6" xfId="3925"/>
    <cellStyle name="常规 6 5" xfId="51"/>
    <cellStyle name="常规 6 5 2" xfId="3710"/>
    <cellStyle name="常规 6 5 2 2" xfId="3712"/>
    <cellStyle name="常规 6 5 2 2 2" xfId="3928"/>
    <cellStyle name="常规 6 5 2 3" xfId="3931"/>
    <cellStyle name="常规 6 5 3" xfId="3715"/>
    <cellStyle name="常规 6 5 3 2" xfId="3718"/>
    <cellStyle name="常规 6 5 4" xfId="3721"/>
    <cellStyle name="常规 6 5 4 2" xfId="3939"/>
    <cellStyle name="常规 6 5 5" xfId="3943"/>
    <cellStyle name="常规 6 6" xfId="724"/>
    <cellStyle name="常规 6 6 2" xfId="3726"/>
    <cellStyle name="常规 6 6 2 2" xfId="3728"/>
    <cellStyle name="常规 6 6 3" xfId="3731"/>
    <cellStyle name="常规 6 6 3 2" xfId="3953"/>
    <cellStyle name="常规 6 6 4" xfId="3958"/>
    <cellStyle name="常规 6 7" xfId="3736"/>
    <cellStyle name="常规 6 7 2" xfId="1273"/>
    <cellStyle name="常规 6 7 2 2" xfId="1277"/>
    <cellStyle name="常规 6 7 3" xfId="1280"/>
    <cellStyle name="常规 6 7 3 2" xfId="1283"/>
    <cellStyle name="常规 6 7 4" xfId="1158"/>
    <cellStyle name="常规 6 8" xfId="3738"/>
    <cellStyle name="常规 6 8 2" xfId="1290"/>
    <cellStyle name="常规 6 9" xfId="3970"/>
    <cellStyle name="常规 6_9、2018年市本级政府预算重点民生项目表" xfId="2722"/>
    <cellStyle name="常规 60" xfId="4003"/>
    <cellStyle name="常规 60 2" xfId="4006"/>
    <cellStyle name="常规 60 3" xfId="4048"/>
    <cellStyle name="常规 61" xfId="2548"/>
    <cellStyle name="常规 61 2" xfId="4008"/>
    <cellStyle name="常规 61 3" xfId="1211"/>
    <cellStyle name="常规 62" xfId="929"/>
    <cellStyle name="常规 62 2" xfId="4010"/>
    <cellStyle name="常规 62 3" xfId="1214"/>
    <cellStyle name="常规 63" xfId="4012"/>
    <cellStyle name="常规 64" xfId="4016"/>
    <cellStyle name="常规 65" xfId="671"/>
    <cellStyle name="常规 66" xfId="2253"/>
    <cellStyle name="常规 66 2" xfId="2257"/>
    <cellStyle name="常规 66 2 2" xfId="4049"/>
    <cellStyle name="常规 66 3" xfId="4051"/>
    <cellStyle name="常规 67" xfId="2260"/>
    <cellStyle name="常规 67 2" xfId="4053"/>
    <cellStyle name="常规 67 3" xfId="2763"/>
    <cellStyle name="常规 68" xfId="1914"/>
    <cellStyle name="常规 68 2" xfId="1917"/>
    <cellStyle name="常规 68 3" xfId="1925"/>
    <cellStyle name="常规 69" xfId="1936"/>
    <cellStyle name="常规 69 2" xfId="1939"/>
    <cellStyle name="常规 69 2 2" xfId="1941"/>
    <cellStyle name="常规 69 3" xfId="1945"/>
    <cellStyle name="常规 7" xfId="231"/>
    <cellStyle name="常规 7 10" xfId="4054"/>
    <cellStyle name="常规 7 10 2" xfId="3857"/>
    <cellStyle name="常规 7 10 2 2" xfId="3860"/>
    <cellStyle name="常规 7 10 2 2 2" xfId="3863"/>
    <cellStyle name="常规 7 10 2 3" xfId="2042"/>
    <cellStyle name="常规 7 10 3" xfId="718"/>
    <cellStyle name="常规 7 10 3 2" xfId="3878"/>
    <cellStyle name="常规 7 10 4" xfId="2919"/>
    <cellStyle name="常规 7 10 4 2" xfId="3895"/>
    <cellStyle name="常规 7 10 5" xfId="3903"/>
    <cellStyle name="常规 7 11" xfId="4055"/>
    <cellStyle name="常规 7 11 2" xfId="50"/>
    <cellStyle name="常规 7 11 2 2" xfId="3709"/>
    <cellStyle name="常规 7 11 3" xfId="723"/>
    <cellStyle name="常规 7 11 3 2" xfId="3725"/>
    <cellStyle name="常规 7 11 4" xfId="3735"/>
    <cellStyle name="常规 7 12" xfId="2385"/>
    <cellStyle name="常规 7 12 2" xfId="2388"/>
    <cellStyle name="常规 7 12 2 2" xfId="3768"/>
    <cellStyle name="常规 7 12 3" xfId="729"/>
    <cellStyle name="常规 7 13" xfId="1505"/>
    <cellStyle name="常规 7 13 2" xfId="3798"/>
    <cellStyle name="常规 7 14" xfId="4057"/>
    <cellStyle name="常规 7 2" xfId="4058"/>
    <cellStyle name="常规 7 2 2" xfId="4059"/>
    <cellStyle name="常规 7 2 2 2" xfId="4060"/>
    <cellStyle name="常规 7 2 2 2 2" xfId="4061"/>
    <cellStyle name="常规 7 2 2 2 2 2" xfId="4062"/>
    <cellStyle name="常规 7 2 2 2 2 2 2" xfId="4064"/>
    <cellStyle name="常规 7 2 2 2 2 3" xfId="4065"/>
    <cellStyle name="常规 7 2 2 2 3" xfId="302"/>
    <cellStyle name="常规 7 2 2 2 3 2" xfId="306"/>
    <cellStyle name="常规 7 2 2 2 4" xfId="309"/>
    <cellStyle name="常规 7 2 2 2 4 2" xfId="1751"/>
    <cellStyle name="常规 7 2 2 2 5" xfId="2321"/>
    <cellStyle name="常规 7 2 2 3" xfId="1080"/>
    <cellStyle name="常规 7 2 2 3 2" xfId="4066"/>
    <cellStyle name="常规 7 2 2 3 2 2" xfId="4067"/>
    <cellStyle name="常规 7 2 2 3 3" xfId="3182"/>
    <cellStyle name="常规 7 2 2 3 3 2" xfId="3184"/>
    <cellStyle name="常规 7 2 2 3 4" xfId="3186"/>
    <cellStyle name="常规 7 2 2 4" xfId="1082"/>
    <cellStyle name="常规 7 2 2 4 2" xfId="1084"/>
    <cellStyle name="常规 7 2 2 4 2 2" xfId="3063"/>
    <cellStyle name="常规 7 2 2 4 3" xfId="1721"/>
    <cellStyle name="常规 7 2 2 5" xfId="3401"/>
    <cellStyle name="常规 7 2 2 5 2" xfId="2733"/>
    <cellStyle name="常规 7 2 2 6" xfId="3403"/>
    <cellStyle name="常规 7 2 3" xfId="4068"/>
    <cellStyle name="常规 7 2 3 2" xfId="4069"/>
    <cellStyle name="常规 7 2 3 2 2" xfId="4070"/>
    <cellStyle name="常规 7 2 3 2 2 2" xfId="3263"/>
    <cellStyle name="常规 7 2 3 2 2 2 2" xfId="2216"/>
    <cellStyle name="常规 7 2 3 2 2 3" xfId="2126"/>
    <cellStyle name="常规 7 2 3 2 3" xfId="3196"/>
    <cellStyle name="常规 7 2 3 2 3 2" xfId="3199"/>
    <cellStyle name="常规 7 2 3 2 4" xfId="3201"/>
    <cellStyle name="常规 7 2 3 2 4 2" xfId="3203"/>
    <cellStyle name="常规 7 2 3 2 5" xfId="2352"/>
    <cellStyle name="常规 7 2 3 3" xfId="4071"/>
    <cellStyle name="常规 7 2 3 3 2" xfId="4072"/>
    <cellStyle name="常规 7 2 3 3 2 2" xfId="4073"/>
    <cellStyle name="常规 7 2 3 3 3" xfId="3208"/>
    <cellStyle name="常规 7 2 3 3 3 2" xfId="3210"/>
    <cellStyle name="常规 7 2 3 3 4" xfId="3212"/>
    <cellStyle name="常规 7 2 3 4" xfId="4074"/>
    <cellStyle name="常规 7 2 3 4 2" xfId="1869"/>
    <cellStyle name="常规 7 2 3 4 2 2" xfId="3079"/>
    <cellStyle name="常规 7 2 3 4 3" xfId="2426"/>
    <cellStyle name="常规 7 2 3 5" xfId="3409"/>
    <cellStyle name="常规 7 2 3 5 2" xfId="3083"/>
    <cellStyle name="常规 7 2 3 6" xfId="3412"/>
    <cellStyle name="常规 7 2 4" xfId="4075"/>
    <cellStyle name="常规 7 2 4 2" xfId="4076"/>
    <cellStyle name="常规 7 2 4 2 2" xfId="4077"/>
    <cellStyle name="常规 7 2 4 2 2 2" xfId="4078"/>
    <cellStyle name="常规 7 2 4 2 2 2 2" xfId="3516"/>
    <cellStyle name="常规 7 2 4 2 2 3" xfId="4079"/>
    <cellStyle name="常规 7 2 4 2 3" xfId="3220"/>
    <cellStyle name="常规 7 2 4 2 3 2" xfId="4080"/>
    <cellStyle name="常规 7 2 4 2 4" xfId="2878"/>
    <cellStyle name="常规 7 2 4 2 4 2" xfId="576"/>
    <cellStyle name="常规 7 2 4 2 5" xfId="2372"/>
    <cellStyle name="常规 7 2 4 3" xfId="4082"/>
    <cellStyle name="常规 7 2 4 3 2" xfId="4083"/>
    <cellStyle name="常规 7 2 4 3 2 2" xfId="2958"/>
    <cellStyle name="常规 7 2 4 3 3" xfId="4084"/>
    <cellStyle name="常规 7 2 4 3 3 2" xfId="2990"/>
    <cellStyle name="常规 7 2 4 3 4" xfId="2886"/>
    <cellStyle name="常规 7 2 4 4" xfId="4085"/>
    <cellStyle name="常规 7 2 4 4 2" xfId="4086"/>
    <cellStyle name="常规 7 2 4 4 2 2" xfId="4087"/>
    <cellStyle name="常规 7 2 4 4 3" xfId="2439"/>
    <cellStyle name="常规 7 2 4 5" xfId="3416"/>
    <cellStyle name="常规 7 2 4 5 2" xfId="4088"/>
    <cellStyle name="常规 7 2 4 6" xfId="4089"/>
    <cellStyle name="常规 7 2 5" xfId="3013"/>
    <cellStyle name="常规 7 2 5 2" xfId="691"/>
    <cellStyle name="常规 7 2 5 2 2" xfId="4090"/>
    <cellStyle name="常规 7 2 5 2 2 2" xfId="4091"/>
    <cellStyle name="常规 7 2 5 2 3" xfId="383"/>
    <cellStyle name="常规 7 2 5 3" xfId="4092"/>
    <cellStyle name="常规 7 2 5 3 2" xfId="4093"/>
    <cellStyle name="常规 7 2 5 4" xfId="1235"/>
    <cellStyle name="常规 7 2 5 4 2" xfId="4094"/>
    <cellStyle name="常规 7 2 5 5" xfId="4095"/>
    <cellStyle name="常规 7 2 6" xfId="3015"/>
    <cellStyle name="常规 7 2 6 2" xfId="4096"/>
    <cellStyle name="常规 7 2 6 2 2" xfId="568"/>
    <cellStyle name="常规 7 2 6 3" xfId="4097"/>
    <cellStyle name="常规 7 2 6 3 2" xfId="180"/>
    <cellStyle name="常规 7 2 6 4" xfId="4098"/>
    <cellStyle name="常规 7 2 7" xfId="4099"/>
    <cellStyle name="常规 7 2 7 2" xfId="4100"/>
    <cellStyle name="常规 7 2 7 2 2" xfId="4101"/>
    <cellStyle name="常规 7 2 7 3" xfId="4102"/>
    <cellStyle name="常规 7 2 8" xfId="4103"/>
    <cellStyle name="常规 7 2 8 2" xfId="2631"/>
    <cellStyle name="常规 7 2 9" xfId="4104"/>
    <cellStyle name="常规 7 3" xfId="4105"/>
    <cellStyle name="常规 7 3 2" xfId="4106"/>
    <cellStyle name="常规 7 3 2 2" xfId="3222"/>
    <cellStyle name="常规 7 3 2 2 2" xfId="3224"/>
    <cellStyle name="常规 7 3 2 2 2 2" xfId="3226"/>
    <cellStyle name="常规 7 3 2 2 2 2 2" xfId="3228"/>
    <cellStyle name="常规 7 3 2 2 2 3" xfId="3230"/>
    <cellStyle name="常规 7 3 2 2 3" xfId="377"/>
    <cellStyle name="常规 7 3 2 2 3 2" xfId="382"/>
    <cellStyle name="常规 7 3 2 2 4" xfId="25"/>
    <cellStyle name="常规 7 3 2 2 4 2" xfId="3233"/>
    <cellStyle name="常规 7 3 2 2 5" xfId="2443"/>
    <cellStyle name="常规 7 3 2 3" xfId="768"/>
    <cellStyle name="常规 7 3 2 3 2" xfId="771"/>
    <cellStyle name="常规 7 3 2 3 2 2" xfId="3237"/>
    <cellStyle name="常规 7 3 2 3 3" xfId="3239"/>
    <cellStyle name="常规 7 3 2 3 3 2" xfId="580"/>
    <cellStyle name="常规 7 3 2 3 4" xfId="4107"/>
    <cellStyle name="常规 7 3 2 4" xfId="777"/>
    <cellStyle name="常规 7 3 2 4 2" xfId="755"/>
    <cellStyle name="常规 7 3 2 4 2 2" xfId="4108"/>
    <cellStyle name="常规 7 3 2 4 3" xfId="4109"/>
    <cellStyle name="常规 7 3 2 5" xfId="374"/>
    <cellStyle name="常规 7 3 2 5 2" xfId="2766"/>
    <cellStyle name="常规 7 3 2 6" xfId="4110"/>
    <cellStyle name="常规 7 3 3" xfId="4111"/>
    <cellStyle name="常规 7 3 3 2" xfId="4112"/>
    <cellStyle name="常规 7 3 3 2 2" xfId="4113"/>
    <cellStyle name="常规 7 3 3 2 2 2" xfId="4114"/>
    <cellStyle name="常规 7 3 3 2 2 2 2" xfId="76"/>
    <cellStyle name="常规 7 3 3 2 2 3" xfId="2143"/>
    <cellStyle name="常规 7 3 3 2 3" xfId="4115"/>
    <cellStyle name="常规 7 3 3 2 3 2" xfId="3050"/>
    <cellStyle name="常规 7 3 3 2 4" xfId="4116"/>
    <cellStyle name="常规 7 3 3 2 4 2" xfId="4117"/>
    <cellStyle name="常规 7 3 3 2 5" xfId="2461"/>
    <cellStyle name="常规 7 3 3 3" xfId="780"/>
    <cellStyle name="常规 7 3 3 3 2" xfId="4118"/>
    <cellStyle name="常规 7 3 3 3 2 2" xfId="4119"/>
    <cellStyle name="常规 7 3 3 3 3" xfId="4120"/>
    <cellStyle name="常规 7 3 3 3 3 2" xfId="392"/>
    <cellStyle name="常规 7 3 3 3 4" xfId="4121"/>
    <cellStyle name="常规 7 3 3 4" xfId="3019"/>
    <cellStyle name="常规 7 3 3 4 2" xfId="1920"/>
    <cellStyle name="常规 7 3 3 4 2 2" xfId="4122"/>
    <cellStyle name="常规 7 3 3 4 3" xfId="2452"/>
    <cellStyle name="常规 7 3 3 5" xfId="3597"/>
    <cellStyle name="常规 7 3 3 5 2" xfId="4123"/>
    <cellStyle name="常规 7 3 3 6" xfId="4063"/>
    <cellStyle name="常规 7 3 4" xfId="2241"/>
    <cellStyle name="常规 7 3 4 2" xfId="4124"/>
    <cellStyle name="常规 7 3 4 2 2" xfId="4125"/>
    <cellStyle name="常规 7 3 4 2 2 2" xfId="4126"/>
    <cellStyle name="常规 7 3 4 2 2 2 2" xfId="4127"/>
    <cellStyle name="常规 7 3 4 2 2 3" xfId="4128"/>
    <cellStyle name="常规 7 3 4 2 3" xfId="4129"/>
    <cellStyle name="常规 7 3 4 2 3 2" xfId="4130"/>
    <cellStyle name="常规 7 3 4 2 4" xfId="2932"/>
    <cellStyle name="常规 7 3 4 2 4 2" xfId="2934"/>
    <cellStyle name="常规 7 3 4 2 5" xfId="2474"/>
    <cellStyle name="常规 7 3 4 3" xfId="4131"/>
    <cellStyle name="常规 7 3 4 3 2" xfId="4132"/>
    <cellStyle name="常规 7 3 4 3 2 2" xfId="4133"/>
    <cellStyle name="常规 7 3 4 3 3" xfId="4134"/>
    <cellStyle name="常规 7 3 4 3 3 2" xfId="4135"/>
    <cellStyle name="常规 7 3 4 3 4" xfId="2937"/>
    <cellStyle name="常规 7 3 4 4" xfId="758"/>
    <cellStyle name="常规 7 3 4 4 2" xfId="4136"/>
    <cellStyle name="常规 7 3 4 4 2 2" xfId="4137"/>
    <cellStyle name="常规 7 3 4 4 3" xfId="2457"/>
    <cellStyle name="常规 7 3 4 5" xfId="4138"/>
    <cellStyle name="常规 7 3 4 5 2" xfId="4139"/>
    <cellStyle name="常规 7 3 4 6" xfId="4140"/>
    <cellStyle name="常规 7 3 5" xfId="1660"/>
    <cellStyle name="常规 7 3 5 2" xfId="1663"/>
    <cellStyle name="常规 7 3 5 2 2" xfId="3040"/>
    <cellStyle name="常规 7 3 5 2 2 2" xfId="3042"/>
    <cellStyle name="常规 7 3 5 2 3" xfId="3048"/>
    <cellStyle name="常规 7 3 5 3" xfId="4141"/>
    <cellStyle name="常规 7 3 5 3 2" xfId="4142"/>
    <cellStyle name="常规 7 3 5 4" xfId="4143"/>
    <cellStyle name="常规 7 3 5 4 2" xfId="4144"/>
    <cellStyle name="常规 7 3 5 5" xfId="4145"/>
    <cellStyle name="常规 7 3 6" xfId="1665"/>
    <cellStyle name="常规 7 3 6 2" xfId="4146"/>
    <cellStyle name="常规 7 3 6 2 2" xfId="4147"/>
    <cellStyle name="常规 7 3 6 3" xfId="4148"/>
    <cellStyle name="常规 7 3 6 3 2" xfId="4149"/>
    <cellStyle name="常规 7 3 6 4" xfId="4150"/>
    <cellStyle name="常规 7 3 7" xfId="4151"/>
    <cellStyle name="常规 7 3 7 2" xfId="4152"/>
    <cellStyle name="常规 7 3 7 2 2" xfId="4153"/>
    <cellStyle name="常规 7 3 7 3" xfId="3073"/>
    <cellStyle name="常规 7 3 8" xfId="4154"/>
    <cellStyle name="常规 7 3 8 2" xfId="2656"/>
    <cellStyle name="常规 7 3 9" xfId="4155"/>
    <cellStyle name="常规 7 4" xfId="3743"/>
    <cellStyle name="常规 7 4 2" xfId="3746"/>
    <cellStyle name="常规 7 4 2 2" xfId="3749"/>
    <cellStyle name="常规 7 4 2 2 2" xfId="3752"/>
    <cellStyle name="常规 7 4 2 2 2 2" xfId="2105"/>
    <cellStyle name="常规 7 4 2 2 2 2 2" xfId="2107"/>
    <cellStyle name="常规 7 4 2 2 2 3" xfId="2110"/>
    <cellStyle name="常规 7 4 2 2 3" xfId="3626"/>
    <cellStyle name="常规 7 4 2 2 3 2" xfId="2117"/>
    <cellStyle name="常规 7 4 2 2 4" xfId="4156"/>
    <cellStyle name="常规 7 4 2 2 4 2" xfId="4157"/>
    <cellStyle name="常规 7 4 2 2 5" xfId="2523"/>
    <cellStyle name="常规 7 4 2 3" xfId="788"/>
    <cellStyle name="常规 7 4 2 3 2" xfId="529"/>
    <cellStyle name="常规 7 4 2 3 2 2" xfId="4158"/>
    <cellStyle name="常规 7 4 2 3 3" xfId="4159"/>
    <cellStyle name="常规 7 4 2 3 3 2" xfId="3272"/>
    <cellStyle name="常规 7 4 2 3 4" xfId="4160"/>
    <cellStyle name="常规 7 4 2 4" xfId="139"/>
    <cellStyle name="常规 7 4 2 4 2" xfId="216"/>
    <cellStyle name="常规 7 4 2 4 2 2" xfId="73"/>
    <cellStyle name="常规 7 4 2 4 3" xfId="2243"/>
    <cellStyle name="常规 7 4 2 5" xfId="793"/>
    <cellStyle name="常规 7 4 2 5 2" xfId="822"/>
    <cellStyle name="常规 7 4 2 6" xfId="4161"/>
    <cellStyle name="常规 7 4 3" xfId="3755"/>
    <cellStyle name="常规 7 4 3 2" xfId="3758"/>
    <cellStyle name="常规 7 4 3 2 2" xfId="4162"/>
    <cellStyle name="常规 7 4 3 2 2 2" xfId="2562"/>
    <cellStyle name="常规 7 4 3 2 2 2 2" xfId="2565"/>
    <cellStyle name="常规 7 4 3 2 2 3" xfId="2165"/>
    <cellStyle name="常规 7 4 3 2 3" xfId="4163"/>
    <cellStyle name="常规 7 4 3 2 3 2" xfId="2574"/>
    <cellStyle name="常规 7 4 3 2 4" xfId="4164"/>
    <cellStyle name="常规 7 4 3 2 4 2" xfId="1655"/>
    <cellStyle name="常规 7 4 3 2 5" xfId="2545"/>
    <cellStyle name="常规 7 4 3 3" xfId="235"/>
    <cellStyle name="常规 7 4 3 3 2" xfId="4165"/>
    <cellStyle name="常规 7 4 3 3 2 2" xfId="4166"/>
    <cellStyle name="常规 7 4 3 3 3" xfId="4167"/>
    <cellStyle name="常规 7 4 3 3 3 2" xfId="3288"/>
    <cellStyle name="常规 7 4 3 3 4" xfId="4168"/>
    <cellStyle name="常规 7 4 3 4" xfId="4169"/>
    <cellStyle name="常规 7 4 3 4 2" xfId="839"/>
    <cellStyle name="常规 7 4 3 4 2 2" xfId="844"/>
    <cellStyle name="常规 7 4 3 4 3" xfId="2469"/>
    <cellStyle name="常规 7 4 3 5" xfId="4170"/>
    <cellStyle name="常规 7 4 3 5 2" xfId="390"/>
    <cellStyle name="常规 7 4 3 6" xfId="4171"/>
    <cellStyle name="常规 7 4 4" xfId="3761"/>
    <cellStyle name="常规 7 4 4 2" xfId="3764"/>
    <cellStyle name="常规 7 4 4 2 2" xfId="4172"/>
    <cellStyle name="常规 7 4 4 2 2 2" xfId="4173"/>
    <cellStyle name="常规 7 4 4 2 2 2 2" xfId="4174"/>
    <cellStyle name="常规 7 4 4 2 2 3" xfId="4175"/>
    <cellStyle name="常规 7 4 4 2 3" xfId="4176"/>
    <cellStyle name="常规 7 4 4 2 3 2" xfId="4177"/>
    <cellStyle name="常规 7 4 4 2 4" xfId="2966"/>
    <cellStyle name="常规 7 4 4 2 4 2" xfId="2968"/>
    <cellStyle name="常规 7 4 4 2 5" xfId="2564"/>
    <cellStyle name="常规 7 4 4 3" xfId="4178"/>
    <cellStyle name="常规 7 4 4 3 2" xfId="4179"/>
    <cellStyle name="常规 7 4 4 3 2 2" xfId="4180"/>
    <cellStyle name="常规 7 4 4 3 3" xfId="4181"/>
    <cellStyle name="常规 7 4 4 3 3 2" xfId="4182"/>
    <cellStyle name="常规 7 4 4 3 4" xfId="2970"/>
    <cellStyle name="常规 7 4 4 4" xfId="4183"/>
    <cellStyle name="常规 7 4 4 4 2" xfId="479"/>
    <cellStyle name="常规 7 4 4 4 2 2" xfId="483"/>
    <cellStyle name="常规 7 4 4 4 3" xfId="4184"/>
    <cellStyle name="常规 7 4 4 5" xfId="4185"/>
    <cellStyle name="常规 7 4 4 5 2" xfId="860"/>
    <cellStyle name="常规 7 4 4 6" xfId="4186"/>
    <cellStyle name="常规 7 4 5" xfId="4187"/>
    <cellStyle name="常规 7 4 5 2" xfId="1559"/>
    <cellStyle name="常规 7 4 5 2 2" xfId="4188"/>
    <cellStyle name="常规 7 4 5 2 2 2" xfId="4189"/>
    <cellStyle name="常规 7 4 5 2 3" xfId="4190"/>
    <cellStyle name="常规 7 4 5 3" xfId="4191"/>
    <cellStyle name="常规 7 4 5 3 2" xfId="4192"/>
    <cellStyle name="常规 7 4 5 4" xfId="4193"/>
    <cellStyle name="常规 7 4 5 4 2" xfId="4194"/>
    <cellStyle name="常规 7 4 5 5" xfId="4195"/>
    <cellStyle name="常规 7 4 6" xfId="4196"/>
    <cellStyle name="常规 7 4 6 2" xfId="4197"/>
    <cellStyle name="常规 7 4 6 2 2" xfId="4198"/>
    <cellStyle name="常规 7 4 6 3" xfId="4199"/>
    <cellStyle name="常规 7 4 6 3 2" xfId="4200"/>
    <cellStyle name="常规 7 4 6 4" xfId="4201"/>
    <cellStyle name="常规 7 4 7" xfId="4202"/>
    <cellStyle name="常规 7 4 7 2" xfId="4203"/>
    <cellStyle name="常规 7 4 7 2 2" xfId="4204"/>
    <cellStyle name="常规 7 4 7 3" xfId="4205"/>
    <cellStyle name="常规 7 4 8" xfId="4206"/>
    <cellStyle name="常规 7 4 8 2" xfId="4207"/>
    <cellStyle name="常规 7 4 9" xfId="4208"/>
    <cellStyle name="常规 7 5" xfId="2390"/>
    <cellStyle name="常规 7 5 2" xfId="4209"/>
    <cellStyle name="常规 7 5 2 2" xfId="4210"/>
    <cellStyle name="常规 7 5 2 2 2" xfId="4211"/>
    <cellStyle name="常规 7 5 2 2 2 2" xfId="4212"/>
    <cellStyle name="常规 7 5 2 2 3" xfId="4213"/>
    <cellStyle name="常规 7 5 2 3" xfId="4214"/>
    <cellStyle name="常规 7 5 2 3 2" xfId="4215"/>
    <cellStyle name="常规 7 5 2 4" xfId="4216"/>
    <cellStyle name="常规 7 5 2 4 2" xfId="4217"/>
    <cellStyle name="常规 7 5 2 5" xfId="4218"/>
    <cellStyle name="常规 7 5 3" xfId="4219"/>
    <cellStyle name="常规 7 5 3 2" xfId="4220"/>
    <cellStyle name="常规 7 5 3 2 2" xfId="4221"/>
    <cellStyle name="常规 7 5 3 3" xfId="4222"/>
    <cellStyle name="常规 7 5 3 3 2" xfId="4223"/>
    <cellStyle name="常规 7 5 3 4" xfId="4224"/>
    <cellStyle name="常规 7 5 4" xfId="4225"/>
    <cellStyle name="常规 7 5 4 2" xfId="4226"/>
    <cellStyle name="常规 7 5 4 2 2" xfId="4227"/>
    <cellStyle name="常规 7 5 4 3" xfId="4228"/>
    <cellStyle name="常规 7 5 5" xfId="4229"/>
    <cellStyle name="常规 7 5 5 2" xfId="4230"/>
    <cellStyle name="常规 7 5 6" xfId="4231"/>
    <cellStyle name="常规 7 6" xfId="4232"/>
    <cellStyle name="常规 7 6 2" xfId="4233"/>
    <cellStyle name="常规 7 6 2 2" xfId="4234"/>
    <cellStyle name="常规 7 6 2 2 2" xfId="4235"/>
    <cellStyle name="常规 7 6 2 2 2 2" xfId="4236"/>
    <cellStyle name="常规 7 6 2 2 3" xfId="4237"/>
    <cellStyle name="常规 7 6 2 3" xfId="4238"/>
    <cellStyle name="常规 7 6 2 3 2" xfId="4239"/>
    <cellStyle name="常规 7 6 2 4" xfId="4240"/>
    <cellStyle name="常规 7 6 2 4 2" xfId="4241"/>
    <cellStyle name="常规 7 6 2 5" xfId="821"/>
    <cellStyle name="常规 7 6 3" xfId="4242"/>
    <cellStyle name="常规 7 6 3 2" xfId="4243"/>
    <cellStyle name="常规 7 6 3 2 2" xfId="4244"/>
    <cellStyle name="常规 7 6 3 3" xfId="4245"/>
    <cellStyle name="常规 7 6 3 3 2" xfId="4246"/>
    <cellStyle name="常规 7 6 3 4" xfId="4247"/>
    <cellStyle name="常规 7 6 4" xfId="4248"/>
    <cellStyle name="常规 7 6 4 2" xfId="4249"/>
    <cellStyle name="常规 7 6 4 2 2" xfId="4250"/>
    <cellStyle name="常规 7 6 4 3" xfId="4251"/>
    <cellStyle name="常规 7 6 5" xfId="4252"/>
    <cellStyle name="常规 7 6 5 2" xfId="4253"/>
    <cellStyle name="常规 7 6 6" xfId="4254"/>
    <cellStyle name="常规 7 7" xfId="4255"/>
    <cellStyle name="常规 7 7 2" xfId="4256"/>
    <cellStyle name="常规 7 7 2 2" xfId="4257"/>
    <cellStyle name="常规 7 7 2 2 2" xfId="4258"/>
    <cellStyle name="常规 7 7 2 2 2 2" xfId="4259"/>
    <cellStyle name="常规 7 7 2 2 3" xfId="4260"/>
    <cellStyle name="常规 7 7 2 3" xfId="4261"/>
    <cellStyle name="常规 7 7 2 3 2" xfId="4262"/>
    <cellStyle name="常规 7 7 2 4" xfId="4263"/>
    <cellStyle name="常规 7 7 2 4 2" xfId="4264"/>
    <cellStyle name="常规 7 7 2 5" xfId="389"/>
    <cellStyle name="常规 7 7 3" xfId="4265"/>
    <cellStyle name="常规 7 7 3 2" xfId="4266"/>
    <cellStyle name="常规 7 7 3 2 2" xfId="4267"/>
    <cellStyle name="常规 7 7 3 3" xfId="4268"/>
    <cellStyle name="常规 7 7 3 3 2" xfId="4269"/>
    <cellStyle name="常规 7 7 3 4" xfId="4270"/>
    <cellStyle name="常规 7 7 4" xfId="4271"/>
    <cellStyle name="常规 7 7 4 2" xfId="4272"/>
    <cellStyle name="常规 7 7 4 2 2" xfId="4273"/>
    <cellStyle name="常规 7 7 4 3" xfId="4274"/>
    <cellStyle name="常规 7 7 5" xfId="4275"/>
    <cellStyle name="常规 7 7 5 2" xfId="4276"/>
    <cellStyle name="常规 7 7 6" xfId="4277"/>
    <cellStyle name="常规 7 8" xfId="4278"/>
    <cellStyle name="常规 7 8 2" xfId="4279"/>
    <cellStyle name="常规 7 8 2 2" xfId="4280"/>
    <cellStyle name="常规 7 8 2 2 2" xfId="4281"/>
    <cellStyle name="常规 7 8 2 2 2 2" xfId="4282"/>
    <cellStyle name="常规 7 8 2 2 3" xfId="4283"/>
    <cellStyle name="常规 7 8 2 3" xfId="4284"/>
    <cellStyle name="常规 7 8 2 3 2" xfId="4285"/>
    <cellStyle name="常规 7 8 2 4" xfId="4286"/>
    <cellStyle name="常规 7 8 2 4 2" xfId="4287"/>
    <cellStyle name="常规 7 8 2 5" xfId="859"/>
    <cellStyle name="常规 7 8 3" xfId="4288"/>
    <cellStyle name="常规 7 8 3 2" xfId="4289"/>
    <cellStyle name="常规 7 8 3 2 2" xfId="4290"/>
    <cellStyle name="常规 7 8 3 3" xfId="4291"/>
    <cellStyle name="常规 7 8 3 3 2" xfId="4292"/>
    <cellStyle name="常规 7 8 3 4" xfId="4293"/>
    <cellStyle name="常规 7 8 4" xfId="4294"/>
    <cellStyle name="常规 7 8 4 2" xfId="112"/>
    <cellStyle name="常规 7 8 4 2 2" xfId="4296"/>
    <cellStyle name="常规 7 8 4 3" xfId="119"/>
    <cellStyle name="常规 7 8 5" xfId="4297"/>
    <cellStyle name="常规 7 8 5 2" xfId="4298"/>
    <cellStyle name="常规 7 8 6" xfId="4299"/>
    <cellStyle name="常规 7 9" xfId="4300"/>
    <cellStyle name="常规 7 9 2" xfId="4301"/>
    <cellStyle name="常规 7 9 2 2" xfId="4302"/>
    <cellStyle name="常规 7 9 2 2 2" xfId="4303"/>
    <cellStyle name="常规 7 9 2 2 2 2" xfId="4306"/>
    <cellStyle name="常规 7 9 2 2 3" xfId="4307"/>
    <cellStyle name="常规 7 9 2 3" xfId="4308"/>
    <cellStyle name="常规 7 9 2 3 2" xfId="4309"/>
    <cellStyle name="常规 7 9 2 4" xfId="4310"/>
    <cellStyle name="常规 7 9 2 4 2" xfId="4311"/>
    <cellStyle name="常规 7 9 2 5" xfId="4312"/>
    <cellStyle name="常规 7 9 3" xfId="4313"/>
    <cellStyle name="常规 7 9 3 2" xfId="4314"/>
    <cellStyle name="常规 7 9 3 2 2" xfId="4315"/>
    <cellStyle name="常规 7 9 3 3" xfId="4316"/>
    <cellStyle name="常规 7 9 3 3 2" xfId="4317"/>
    <cellStyle name="常规 7 9 3 4" xfId="4318"/>
    <cellStyle name="常规 7 9 4" xfId="4319"/>
    <cellStyle name="常规 7 9 4 2" xfId="4320"/>
    <cellStyle name="常规 7 9 4 2 2" xfId="4321"/>
    <cellStyle name="常规 7 9 4 3" xfId="4322"/>
    <cellStyle name="常规 7 9 5" xfId="4323"/>
    <cellStyle name="常规 7 9 5 2" xfId="4324"/>
    <cellStyle name="常规 7 9 6" xfId="4325"/>
    <cellStyle name="常规 7_9、2018年市本级政府预算重点民生项目表" xfId="4326"/>
    <cellStyle name="常规 70" xfId="670"/>
    <cellStyle name="常规 70 2" xfId="4327"/>
    <cellStyle name="常规 70 2 2" xfId="1116"/>
    <cellStyle name="常规 70 3" xfId="4328"/>
    <cellStyle name="常规 71" xfId="2251"/>
    <cellStyle name="常规 71 2" xfId="2255"/>
    <cellStyle name="常规 71 3" xfId="4050"/>
    <cellStyle name="常规 72" xfId="2258"/>
    <cellStyle name="常规 72 2" xfId="4052"/>
    <cellStyle name="常规 72 3" xfId="2761"/>
    <cellStyle name="常规 73" xfId="1912"/>
    <cellStyle name="常规 73 2" xfId="1915"/>
    <cellStyle name="常规 73 3" xfId="1922"/>
    <cellStyle name="常规 74" xfId="1934"/>
    <cellStyle name="常规 74 2" xfId="1937"/>
    <cellStyle name="常规 74 3" xfId="1942"/>
    <cellStyle name="常规 75" xfId="313"/>
    <cellStyle name="常规 75 2" xfId="1951"/>
    <cellStyle name="常规 75 2 2" xfId="1953"/>
    <cellStyle name="常规 75 3" xfId="1955"/>
    <cellStyle name="常规 76" xfId="1959"/>
    <cellStyle name="常规 76 2" xfId="1962"/>
    <cellStyle name="常规 76 2 2" xfId="4329"/>
    <cellStyle name="常规 76 3" xfId="4330"/>
    <cellStyle name="常规 77" xfId="1965"/>
    <cellStyle name="常规 77 2" xfId="4332"/>
    <cellStyle name="常规 78" xfId="4334"/>
    <cellStyle name="常规 78 2" xfId="4336"/>
    <cellStyle name="常规 79" xfId="4338"/>
    <cellStyle name="常规 79 2" xfId="4340"/>
    <cellStyle name="常规 8" xfId="4342"/>
    <cellStyle name="常规 8 10" xfId="4343"/>
    <cellStyle name="常规 8 10 2" xfId="4344"/>
    <cellStyle name="常规 8 10 2 2" xfId="4345"/>
    <cellStyle name="常规 8 10 2 2 2" xfId="4346"/>
    <cellStyle name="常规 8 10 2 3" xfId="4347"/>
    <cellStyle name="常规 8 10 3" xfId="4348"/>
    <cellStyle name="常规 8 10 3 2" xfId="4349"/>
    <cellStyle name="常规 8 10 4" xfId="4350"/>
    <cellStyle name="常规 8 10 4 2" xfId="4351"/>
    <cellStyle name="常规 8 10 5" xfId="4352"/>
    <cellStyle name="常规 8 11" xfId="4353"/>
    <cellStyle name="常规 8 11 2" xfId="186"/>
    <cellStyle name="常规 8 11 2 2" xfId="4354"/>
    <cellStyle name="常规 8 11 3" xfId="4355"/>
    <cellStyle name="常规 8 11 3 2" xfId="4356"/>
    <cellStyle name="常规 8 11 4" xfId="4357"/>
    <cellStyle name="常规 8 12" xfId="4358"/>
    <cellStyle name="常规 8 12 2" xfId="4359"/>
    <cellStyle name="常规 8 12 2 2" xfId="4360"/>
    <cellStyle name="常规 8 12 3" xfId="4361"/>
    <cellStyle name="常规 8 13" xfId="4362"/>
    <cellStyle name="常规 8 13 2" xfId="4363"/>
    <cellStyle name="常规 8 14" xfId="4364"/>
    <cellStyle name="常规 8 2" xfId="4366"/>
    <cellStyle name="常规 8 2 2" xfId="4367"/>
    <cellStyle name="常规 8 2 2 2" xfId="4368"/>
    <cellStyle name="常规 8 2 2 2 2" xfId="4369"/>
    <cellStyle name="常规 8 2 2 2 2 2" xfId="4370"/>
    <cellStyle name="常规 8 2 2 2 2 2 2" xfId="4371"/>
    <cellStyle name="常规 8 2 2 2 2 3" xfId="4372"/>
    <cellStyle name="常规 8 2 2 2 3" xfId="4373"/>
    <cellStyle name="常规 8 2 2 2 3 2" xfId="4374"/>
    <cellStyle name="常规 8 2 2 2 4" xfId="4375"/>
    <cellStyle name="常规 8 2 2 2 4 2" xfId="4376"/>
    <cellStyle name="常规 8 2 2 2 5" xfId="4377"/>
    <cellStyle name="常规 8 2 2 3" xfId="4378"/>
    <cellStyle name="常规 8 2 2 3 2" xfId="4379"/>
    <cellStyle name="常规 8 2 2 3 2 2" xfId="4380"/>
    <cellStyle name="常规 8 2 2 3 3" xfId="4381"/>
    <cellStyle name="常规 8 2 2 3 3 2" xfId="4382"/>
    <cellStyle name="常规 8 2 2 3 4" xfId="4383"/>
    <cellStyle name="常规 8 2 2 4" xfId="4384"/>
    <cellStyle name="常规 8 2 2 4 2" xfId="4385"/>
    <cellStyle name="常规 8 2 2 4 2 2" xfId="4386"/>
    <cellStyle name="常规 8 2 2 4 3" xfId="4387"/>
    <cellStyle name="常规 8 2 2 5" xfId="4389"/>
    <cellStyle name="常规 8 2 2 5 2" xfId="4391"/>
    <cellStyle name="常规 8 2 2 6" xfId="4392"/>
    <cellStyle name="常规 8 2 3" xfId="4393"/>
    <cellStyle name="常规 8 2 3 2" xfId="4394"/>
    <cellStyle name="常规 8 2 3 2 2" xfId="4395"/>
    <cellStyle name="常规 8 2 3 2 2 2" xfId="4396"/>
    <cellStyle name="常规 8 2 3 2 2 2 2" xfId="4397"/>
    <cellStyle name="常规 8 2 3 2 2 3" xfId="4398"/>
    <cellStyle name="常规 8 2 3 2 3" xfId="4399"/>
    <cellStyle name="常规 8 2 3 2 3 2" xfId="4400"/>
    <cellStyle name="常规 8 2 3 2 4" xfId="4401"/>
    <cellStyle name="常规 8 2 3 2 4 2" xfId="4402"/>
    <cellStyle name="常规 8 2 3 2 5" xfId="4403"/>
    <cellStyle name="常规 8 2 3 3" xfId="4404"/>
    <cellStyle name="常规 8 2 3 3 2" xfId="4405"/>
    <cellStyle name="常规 8 2 3 3 2 2" xfId="4406"/>
    <cellStyle name="常规 8 2 3 3 3" xfId="4407"/>
    <cellStyle name="常规 8 2 3 3 3 2" xfId="4408"/>
    <cellStyle name="常规 8 2 3 3 4" xfId="4409"/>
    <cellStyle name="常规 8 2 3 4" xfId="4410"/>
    <cellStyle name="常规 8 2 3 4 2" xfId="4411"/>
    <cellStyle name="常规 8 2 3 4 2 2" xfId="4412"/>
    <cellStyle name="常规 8 2 3 4 3" xfId="4413"/>
    <cellStyle name="常规 8 2 3 5" xfId="4415"/>
    <cellStyle name="常规 8 2 3 5 2" xfId="4417"/>
    <cellStyle name="常规 8 2 3 6" xfId="4419"/>
    <cellStyle name="常规 8 2 4" xfId="4420"/>
    <cellStyle name="常规 8 2 4 2" xfId="4421"/>
    <cellStyle name="常规 8 2 4 2 2" xfId="4422"/>
    <cellStyle name="常规 8 2 4 2 2 2" xfId="4423"/>
    <cellStyle name="常规 8 2 4 2 2 2 2" xfId="4424"/>
    <cellStyle name="常规 8 2 4 2 2 3" xfId="4425"/>
    <cellStyle name="常规 8 2 4 2 3" xfId="4426"/>
    <cellStyle name="常规 8 2 4 2 3 2" xfId="4427"/>
    <cellStyle name="常规 8 2 4 2 4" xfId="4428"/>
    <cellStyle name="常规 8 2 4 2 4 2" xfId="4429"/>
    <cellStyle name="常规 8 2 4 2 5" xfId="4430"/>
    <cellStyle name="常规 8 2 4 3" xfId="4431"/>
    <cellStyle name="常规 8 2 4 3 2" xfId="4432"/>
    <cellStyle name="常规 8 2 4 3 2 2" xfId="4433"/>
    <cellStyle name="常规 8 2 4 3 3" xfId="4434"/>
    <cellStyle name="常规 8 2 4 3 3 2" xfId="4435"/>
    <cellStyle name="常规 8 2 4 3 4" xfId="4436"/>
    <cellStyle name="常规 8 2 4 4" xfId="4437"/>
    <cellStyle name="常规 8 2 4 4 2" xfId="4438"/>
    <cellStyle name="常规 8 2 4 4 2 2" xfId="4439"/>
    <cellStyle name="常规 8 2 4 4 3" xfId="4440"/>
    <cellStyle name="常规 8 2 4 5" xfId="4441"/>
    <cellStyle name="常规 8 2 4 5 2" xfId="4442"/>
    <cellStyle name="常规 8 2 4 6" xfId="4443"/>
    <cellStyle name="常规 8 2 5" xfId="4444"/>
    <cellStyle name="常规 8 2 5 2" xfId="4445"/>
    <cellStyle name="常规 8 2 5 2 2" xfId="4446"/>
    <cellStyle name="常规 8 2 5 2 2 2" xfId="4447"/>
    <cellStyle name="常规 8 2 5 2 3" xfId="4448"/>
    <cellStyle name="常规 8 2 5 3" xfId="4449"/>
    <cellStyle name="常规 8 2 5 3 2" xfId="4450"/>
    <cellStyle name="常规 8 2 5 4" xfId="4451"/>
    <cellStyle name="常规 8 2 5 4 2" xfId="4452"/>
    <cellStyle name="常规 8 2 5 5" xfId="4453"/>
    <cellStyle name="常规 8 2 6" xfId="4454"/>
    <cellStyle name="常规 8 2 6 2" xfId="4455"/>
    <cellStyle name="常规 8 2 6 2 2" xfId="4456"/>
    <cellStyle name="常规 8 2 6 3" xfId="4457"/>
    <cellStyle name="常规 8 2 6 3 2" xfId="4458"/>
    <cellStyle name="常规 8 2 6 4" xfId="4459"/>
    <cellStyle name="常规 8 2 7" xfId="4460"/>
    <cellStyle name="常规 8 2 7 2" xfId="4461"/>
    <cellStyle name="常规 8 2 7 2 2" xfId="4462"/>
    <cellStyle name="常规 8 2 7 3" xfId="4463"/>
    <cellStyle name="常规 8 2 8" xfId="4464"/>
    <cellStyle name="常规 8 2 8 2" xfId="4465"/>
    <cellStyle name="常规 8 2 9" xfId="4466"/>
    <cellStyle name="常规 8 3" xfId="3236"/>
    <cellStyle name="常规 8 3 2" xfId="4468"/>
    <cellStyle name="常规 8 3 2 2" xfId="4470"/>
    <cellStyle name="常规 8 3 2 2 2" xfId="4472"/>
    <cellStyle name="常规 8 3 2 2 2 2" xfId="4473"/>
    <cellStyle name="常规 8 3 2 2 2 2 2" xfId="2998"/>
    <cellStyle name="常规 8 3 2 2 2 3" xfId="4474"/>
    <cellStyle name="常规 8 3 2 2 3" xfId="4475"/>
    <cellStyle name="常规 8 3 2 2 3 2" xfId="4476"/>
    <cellStyle name="常规 8 3 2 2 4" xfId="3882"/>
    <cellStyle name="常规 8 3 2 2 4 2" xfId="4477"/>
    <cellStyle name="常规 8 3 2 2 5" xfId="4478"/>
    <cellStyle name="常规 8 3 2 3" xfId="4480"/>
    <cellStyle name="常规 8 3 2 3 2" xfId="1487"/>
    <cellStyle name="常规 8 3 2 3 2 2" xfId="1490"/>
    <cellStyle name="常规 8 3 2 3 3" xfId="1494"/>
    <cellStyle name="常规 8 3 2 3 3 2" xfId="289"/>
    <cellStyle name="常规 8 3 2 3 4" xfId="3188"/>
    <cellStyle name="常规 8 3 2 4" xfId="4482"/>
    <cellStyle name="常规 8 3 2 4 2" xfId="4484"/>
    <cellStyle name="常规 8 3 2 4 2 2" xfId="3553"/>
    <cellStyle name="常规 8 3 2 4 3" xfId="4485"/>
    <cellStyle name="常规 8 3 2 5" xfId="4487"/>
    <cellStyle name="常规 8 3 2 5 2" xfId="4488"/>
    <cellStyle name="常规 8 3 2 6" xfId="4489"/>
    <cellStyle name="常规 8 3 3" xfId="4490"/>
    <cellStyle name="常规 8 3 3 2" xfId="4491"/>
    <cellStyle name="常规 8 3 3 2 2" xfId="4492"/>
    <cellStyle name="常规 8 3 3 2 2 2" xfId="4493"/>
    <cellStyle name="常规 8 3 3 2 2 2 2" xfId="4494"/>
    <cellStyle name="常规 8 3 3 2 2 3" xfId="4495"/>
    <cellStyle name="常规 8 3 3 2 3" xfId="4496"/>
    <cellStyle name="常规 8 3 3 2 3 2" xfId="4497"/>
    <cellStyle name="常规 8 3 3 2 4" xfId="4498"/>
    <cellStyle name="常规 8 3 3 2 4 2" xfId="4499"/>
    <cellStyle name="常规 8 3 3 2 5" xfId="4500"/>
    <cellStyle name="常规 8 3 3 3" xfId="4501"/>
    <cellStyle name="常规 8 3 3 3 2" xfId="1504"/>
    <cellStyle name="常规 8 3 3 3 2 2" xfId="3796"/>
    <cellStyle name="常规 8 3 3 3 3" xfId="4056"/>
    <cellStyle name="常规 8 3 3 3 3 2" xfId="3825"/>
    <cellStyle name="常规 8 3 3 3 4" xfId="4502"/>
    <cellStyle name="常规 8 3 3 4" xfId="4503"/>
    <cellStyle name="常规 8 3 3 4 2" xfId="4504"/>
    <cellStyle name="常规 8 3 3 4 2 2" xfId="3886"/>
    <cellStyle name="常规 8 3 3 4 3" xfId="4505"/>
    <cellStyle name="常规 8 3 3 5" xfId="4506"/>
    <cellStyle name="常规 8 3 3 5 2" xfId="4507"/>
    <cellStyle name="常规 8 3 3 6" xfId="4508"/>
    <cellStyle name="常规 8 3 4" xfId="4509"/>
    <cellStyle name="常规 8 3 4 2" xfId="4510"/>
    <cellStyle name="常规 8 3 4 2 2" xfId="4511"/>
    <cellStyle name="常规 8 3 4 2 2 2" xfId="4512"/>
    <cellStyle name="常规 8 3 4 2 2 2 2" xfId="4513"/>
    <cellStyle name="常规 8 3 4 2 2 3" xfId="4514"/>
    <cellStyle name="常规 8 3 4 2 3" xfId="4515"/>
    <cellStyle name="常规 8 3 4 2 3 2" xfId="4516"/>
    <cellStyle name="常规 8 3 4 2 4" xfId="4517"/>
    <cellStyle name="常规 8 3 4 2 4 2" xfId="4518"/>
    <cellStyle name="常规 8 3 4 2 5" xfId="4519"/>
    <cellStyle name="常规 8 3 4 3" xfId="4520"/>
    <cellStyle name="常规 8 3 4 3 2" xfId="4521"/>
    <cellStyle name="常规 8 3 4 3 2 2" xfId="4522"/>
    <cellStyle name="常规 8 3 4 3 3" xfId="4523"/>
    <cellStyle name="常规 8 3 4 3 3 2" xfId="4524"/>
    <cellStyle name="常规 8 3 4 3 4" xfId="4525"/>
    <cellStyle name="常规 8 3 4 4" xfId="4526"/>
    <cellStyle name="常规 8 3 4 4 2" xfId="4527"/>
    <cellStyle name="常规 8 3 4 4 2 2" xfId="4528"/>
    <cellStyle name="常规 8 3 4 4 3" xfId="4529"/>
    <cellStyle name="常规 8 3 4 5" xfId="4530"/>
    <cellStyle name="常规 8 3 4 5 2" xfId="4531"/>
    <cellStyle name="常规 8 3 4 6" xfId="4532"/>
    <cellStyle name="常规 8 3 5" xfId="4533"/>
    <cellStyle name="常规 8 3 5 2" xfId="4534"/>
    <cellStyle name="常规 8 3 5 2 2" xfId="4535"/>
    <cellStyle name="常规 8 3 5 2 2 2" xfId="4536"/>
    <cellStyle name="常规 8 3 5 2 3" xfId="4537"/>
    <cellStyle name="常规 8 3 5 3" xfId="4538"/>
    <cellStyle name="常规 8 3 5 3 2" xfId="1098"/>
    <cellStyle name="常规 8 3 5 4" xfId="4539"/>
    <cellStyle name="常规 8 3 5 4 2" xfId="4001"/>
    <cellStyle name="常规 8 3 5 5" xfId="4540"/>
    <cellStyle name="常规 8 3 6" xfId="4541"/>
    <cellStyle name="常规 8 3 6 2" xfId="4542"/>
    <cellStyle name="常规 8 3 6 2 2" xfId="4543"/>
    <cellStyle name="常规 8 3 6 3" xfId="4544"/>
    <cellStyle name="常规 8 3 6 3 2" xfId="4545"/>
    <cellStyle name="常规 8 3 6 4" xfId="2493"/>
    <cellStyle name="常规 8 3 7" xfId="4546"/>
    <cellStyle name="常规 8 3 7 2" xfId="4547"/>
    <cellStyle name="常规 8 3 7 2 2" xfId="4548"/>
    <cellStyle name="常规 8 3 7 3" xfId="4549"/>
    <cellStyle name="常规 8 3 8" xfId="1866"/>
    <cellStyle name="常规 8 3 8 2" xfId="3075"/>
    <cellStyle name="常规 8 3 9" xfId="3077"/>
    <cellStyle name="常规 8 4" xfId="4550"/>
    <cellStyle name="常规 8 4 2" xfId="4551"/>
    <cellStyle name="常规 8 4 2 2" xfId="4552"/>
    <cellStyle name="常规 8 4 2 2 2" xfId="4553"/>
    <cellStyle name="常规 8 4 2 2 2 2" xfId="4554"/>
    <cellStyle name="常规 8 4 2 2 2 2 2" xfId="4555"/>
    <cellStyle name="常规 8 4 2 2 2 3" xfId="4556"/>
    <cellStyle name="常规 8 4 2 2 3" xfId="4557"/>
    <cellStyle name="常规 8 4 2 2 3 2" xfId="4558"/>
    <cellStyle name="常规 8 4 2 2 4" xfId="4559"/>
    <cellStyle name="常规 8 4 2 2 4 2" xfId="4560"/>
    <cellStyle name="常规 8 4 2 2 5" xfId="4561"/>
    <cellStyle name="常规 8 4 2 3" xfId="4562"/>
    <cellStyle name="常规 8 4 2 3 2" xfId="4563"/>
    <cellStyle name="常规 8 4 2 3 2 2" xfId="4564"/>
    <cellStyle name="常规 8 4 2 3 3" xfId="4565"/>
    <cellStyle name="常规 8 4 2 3 3 2" xfId="4566"/>
    <cellStyle name="常规 8 4 2 3 4" xfId="4567"/>
    <cellStyle name="常规 8 4 2 4" xfId="4568"/>
    <cellStyle name="常规 8 4 2 4 2" xfId="4569"/>
    <cellStyle name="常规 8 4 2 4 2 2" xfId="2283"/>
    <cellStyle name="常规 8 4 2 4 3" xfId="4570"/>
    <cellStyle name="常规 8 4 2 5" xfId="4571"/>
    <cellStyle name="常规 8 4 2 5 2" xfId="4572"/>
    <cellStyle name="常规 8 4 2 6" xfId="4573"/>
    <cellStyle name="常规 8 4 3" xfId="4574"/>
    <cellStyle name="常规 8 4 3 2" xfId="4575"/>
    <cellStyle name="常规 8 4 3 2 2" xfId="4576"/>
    <cellStyle name="常规 8 4 3 2 2 2" xfId="4577"/>
    <cellStyle name="常规 8 4 3 2 2 2 2" xfId="4578"/>
    <cellStyle name="常规 8 4 3 2 2 3" xfId="4579"/>
    <cellStyle name="常规 8 4 3 2 3" xfId="4580"/>
    <cellStyle name="常规 8 4 3 2 3 2" xfId="4581"/>
    <cellStyle name="常规 8 4 3 2 4" xfId="4582"/>
    <cellStyle name="常规 8 4 3 2 4 2" xfId="4583"/>
    <cellStyle name="常规 8 4 3 2 5" xfId="4584"/>
    <cellStyle name="常规 8 4 3 3" xfId="3244"/>
    <cellStyle name="常规 8 4 3 3 2" xfId="3246"/>
    <cellStyle name="常规 8 4 3 3 2 2" xfId="4585"/>
    <cellStyle name="常规 8 4 3 3 3" xfId="4586"/>
    <cellStyle name="常规 8 4 3 3 3 2" xfId="4587"/>
    <cellStyle name="常规 8 4 3 3 4" xfId="4588"/>
    <cellStyle name="常规 8 4 3 4" xfId="3248"/>
    <cellStyle name="常规 8 4 3 4 2" xfId="4589"/>
    <cellStyle name="常规 8 4 3 4 2 2" xfId="1039"/>
    <cellStyle name="常规 8 4 3 4 3" xfId="4590"/>
    <cellStyle name="常规 8 4 3 5" xfId="4591"/>
    <cellStyle name="常规 8 4 3 5 2" xfId="4592"/>
    <cellStyle name="常规 8 4 3 6" xfId="4593"/>
    <cellStyle name="常规 8 4 4" xfId="2701"/>
    <cellStyle name="常规 8 4 4 2" xfId="2706"/>
    <cellStyle name="常规 8 4 4 2 2" xfId="4594"/>
    <cellStyle name="常规 8 4 4 2 2 2" xfId="4595"/>
    <cellStyle name="常规 8 4 4 2 2 2 2" xfId="4596"/>
    <cellStyle name="常规 8 4 4 2 2 3" xfId="4597"/>
    <cellStyle name="常规 8 4 4 2 3" xfId="4598"/>
    <cellStyle name="常规 8 4 4 2 3 2" xfId="4599"/>
    <cellStyle name="常规 8 4 4 2 4" xfId="4600"/>
    <cellStyle name="常规 8 4 4 2 4 2" xfId="4601"/>
    <cellStyle name="常规 8 4 4 2 5" xfId="4602"/>
    <cellStyle name="常规 8 4 4 3" xfId="3251"/>
    <cellStyle name="常规 8 4 4 3 2" xfId="4603"/>
    <cellStyle name="常规 8 4 4 3 2 2" xfId="4604"/>
    <cellStyle name="常规 8 4 4 3 3" xfId="4605"/>
    <cellStyle name="常规 8 4 4 3 3 2" xfId="4606"/>
    <cellStyle name="常规 8 4 4 3 4" xfId="4607"/>
    <cellStyle name="常规 8 4 4 4" xfId="4608"/>
    <cellStyle name="常规 8 4 4 4 2" xfId="4609"/>
    <cellStyle name="常规 8 4 4 4 2 2" xfId="2822"/>
    <cellStyle name="常规 8 4 4 4 3" xfId="4610"/>
    <cellStyle name="常规 8 4 4 5" xfId="4611"/>
    <cellStyle name="常规 8 4 4 5 2" xfId="4612"/>
    <cellStyle name="常规 8 4 4 6" xfId="4613"/>
    <cellStyle name="常规 8 4 5" xfId="1699"/>
    <cellStyle name="常规 8 4 5 2" xfId="1588"/>
    <cellStyle name="常规 8 4 5 2 2" xfId="4614"/>
    <cellStyle name="常规 8 4 5 2 2 2" xfId="4615"/>
    <cellStyle name="常规 8 4 5 2 3" xfId="4616"/>
    <cellStyle name="常规 8 4 5 3" xfId="3253"/>
    <cellStyle name="常规 8 4 5 3 2" xfId="4617"/>
    <cellStyle name="常规 8 4 5 4" xfId="4618"/>
    <cellStyle name="常规 8 4 5 4 2" xfId="4619"/>
    <cellStyle name="常规 8 4 5 5" xfId="4620"/>
    <cellStyle name="常规 8 4 6" xfId="4621"/>
    <cellStyle name="常规 8 4 6 2" xfId="4622"/>
    <cellStyle name="常规 8 4 6 2 2" xfId="4623"/>
    <cellStyle name="常规 8 4 6 3" xfId="4624"/>
    <cellStyle name="常规 8 4 6 3 2" xfId="4625"/>
    <cellStyle name="常规 8 4 6 4" xfId="4626"/>
    <cellStyle name="常规 8 4 7" xfId="4627"/>
    <cellStyle name="常规 8 4 7 2" xfId="4628"/>
    <cellStyle name="常规 8 4 7 2 2" xfId="4629"/>
    <cellStyle name="常规 8 4 7 3" xfId="4630"/>
    <cellStyle name="常规 8 4 8" xfId="3080"/>
    <cellStyle name="常规 8 4 8 2" xfId="4631"/>
    <cellStyle name="常规 8 4 9" xfId="4632"/>
    <cellStyle name="常规 8 5" xfId="4633"/>
    <cellStyle name="常规 8 5 2" xfId="4634"/>
    <cellStyle name="常规 8 5 2 2" xfId="4635"/>
    <cellStyle name="常规 8 5 2 2 2" xfId="4636"/>
    <cellStyle name="常规 8 5 2 2 2 2" xfId="4637"/>
    <cellStyle name="常规 8 5 2 2 3" xfId="4638"/>
    <cellStyle name="常规 8 5 2 3" xfId="4639"/>
    <cellStyle name="常规 8 5 2 3 2" xfId="4640"/>
    <cellStyle name="常规 8 5 2 4" xfId="4641"/>
    <cellStyle name="常规 8 5 2 4 2" xfId="4642"/>
    <cellStyle name="常规 8 5 2 5" xfId="4643"/>
    <cellStyle name="常规 8 5 3" xfId="4644"/>
    <cellStyle name="常规 8 5 3 2" xfId="4645"/>
    <cellStyle name="常规 8 5 3 2 2" xfId="4646"/>
    <cellStyle name="常规 8 5 3 3" xfId="3255"/>
    <cellStyle name="常规 8 5 3 3 2" xfId="4647"/>
    <cellStyle name="常规 8 5 3 4" xfId="4648"/>
    <cellStyle name="常规 8 5 4" xfId="2710"/>
    <cellStyle name="常规 8 5 4 2" xfId="4649"/>
    <cellStyle name="常规 8 5 4 2 2" xfId="4650"/>
    <cellStyle name="常规 8 5 4 3" xfId="3258"/>
    <cellStyle name="常规 8 5 5" xfId="4651"/>
    <cellStyle name="常规 8 5 5 2" xfId="4652"/>
    <cellStyle name="常规 8 5 6" xfId="4653"/>
    <cellStyle name="常规 8 6" xfId="4654"/>
    <cellStyle name="常规 8 6 2" xfId="4655"/>
    <cellStyle name="常规 8 6 2 2" xfId="4656"/>
    <cellStyle name="常规 8 6 2 2 2" xfId="4657"/>
    <cellStyle name="常规 8 6 2 2 2 2" xfId="4658"/>
    <cellStyle name="常规 8 6 2 2 3" xfId="4659"/>
    <cellStyle name="常规 8 6 2 3" xfId="4660"/>
    <cellStyle name="常规 8 6 2 3 2" xfId="4661"/>
    <cellStyle name="常规 8 6 2 4" xfId="4662"/>
    <cellStyle name="常规 8 6 2 4 2" xfId="4663"/>
    <cellStyle name="常规 8 6 2 5" xfId="4664"/>
    <cellStyle name="常规 8 6 3" xfId="4665"/>
    <cellStyle name="常规 8 6 3 2" xfId="4666"/>
    <cellStyle name="常规 8 6 3 2 2" xfId="4667"/>
    <cellStyle name="常规 8 6 3 3" xfId="3261"/>
    <cellStyle name="常规 8 6 3 3 2" xfId="4668"/>
    <cellStyle name="常规 8 6 3 4" xfId="4669"/>
    <cellStyle name="常规 8 6 4" xfId="2713"/>
    <cellStyle name="常规 8 6 4 2" xfId="4670"/>
    <cellStyle name="常规 8 6 4 2 2" xfId="4671"/>
    <cellStyle name="常规 8 6 4 3" xfId="1459"/>
    <cellStyle name="常规 8 6 5" xfId="4672"/>
    <cellStyle name="常规 8 6 5 2" xfId="4673"/>
    <cellStyle name="常规 8 6 6" xfId="4674"/>
    <cellStyle name="常规 8 7" xfId="4675"/>
    <cellStyle name="常规 8 7 2" xfId="4676"/>
    <cellStyle name="常规 8 7 2 2" xfId="4677"/>
    <cellStyle name="常规 8 7 2 2 2" xfId="445"/>
    <cellStyle name="常规 8 7 2 2 2 2" xfId="450"/>
    <cellStyle name="常规 8 7 2 2 3" xfId="468"/>
    <cellStyle name="常规 8 7 2 3" xfId="4678"/>
    <cellStyle name="常规 8 7 2 3 2" xfId="512"/>
    <cellStyle name="常规 8 7 2 4" xfId="4679"/>
    <cellStyle name="常规 8 7 2 4 2" xfId="4680"/>
    <cellStyle name="常规 8 7 2 5" xfId="4681"/>
    <cellStyle name="常规 8 7 3" xfId="4682"/>
    <cellStyle name="常规 8 7 3 2" xfId="4683"/>
    <cellStyle name="常规 8 7 3 2 2" xfId="4684"/>
    <cellStyle name="常规 8 7 3 3" xfId="4685"/>
    <cellStyle name="常规 8 7 3 3 2" xfId="4686"/>
    <cellStyle name="常规 8 7 3 4" xfId="4687"/>
    <cellStyle name="常规 8 7 4" xfId="4688"/>
    <cellStyle name="常规 8 7 4 2" xfId="4689"/>
    <cellStyle name="常规 8 7 4 2 2" xfId="4690"/>
    <cellStyle name="常规 8 7 4 3" xfId="4691"/>
    <cellStyle name="常规 8 7 5" xfId="4692"/>
    <cellStyle name="常规 8 7 5 2" xfId="4693"/>
    <cellStyle name="常规 8 7 6" xfId="4694"/>
    <cellStyle name="常规 8 8" xfId="4695"/>
    <cellStyle name="常规 8 8 2" xfId="4696"/>
    <cellStyle name="常规 8 8 2 2" xfId="4697"/>
    <cellStyle name="常规 8 8 2 2 2" xfId="4698"/>
    <cellStyle name="常规 8 8 2 2 2 2" xfId="4699"/>
    <cellStyle name="常规 8 8 2 2 3" xfId="4700"/>
    <cellStyle name="常规 8 8 2 3" xfId="4701"/>
    <cellStyle name="常规 8 8 2 3 2" xfId="4702"/>
    <cellStyle name="常规 8 8 2 4" xfId="4703"/>
    <cellStyle name="常规 8 8 2 4 2" xfId="4704"/>
    <cellStyle name="常规 8 8 2 5" xfId="4705"/>
    <cellStyle name="常规 8 8 3" xfId="4706"/>
    <cellStyle name="常规 8 8 3 2" xfId="4707"/>
    <cellStyle name="常规 8 8 3 2 2" xfId="4708"/>
    <cellStyle name="常规 8 8 3 3" xfId="4709"/>
    <cellStyle name="常规 8 8 3 3 2" xfId="4710"/>
    <cellStyle name="常规 8 8 3 4" xfId="4711"/>
    <cellStyle name="常规 8 8 4" xfId="4712"/>
    <cellStyle name="常规 8 8 4 2" xfId="4713"/>
    <cellStyle name="常规 8 8 4 2 2" xfId="4714"/>
    <cellStyle name="常规 8 8 4 3" xfId="4715"/>
    <cellStyle name="常规 8 8 5" xfId="4716"/>
    <cellStyle name="常规 8 8 5 2" xfId="4717"/>
    <cellStyle name="常规 8 8 6" xfId="4718"/>
    <cellStyle name="常规 8 9" xfId="4719"/>
    <cellStyle name="常规 8 9 2" xfId="4720"/>
    <cellStyle name="常规 8 9 2 2" xfId="4721"/>
    <cellStyle name="常规 8 9 2 2 2" xfId="4722"/>
    <cellStyle name="常规 8 9 2 2 2 2" xfId="4723"/>
    <cellStyle name="常规 8 9 2 2 3" xfId="4724"/>
    <cellStyle name="常规 8 9 2 3" xfId="4725"/>
    <cellStyle name="常规 8 9 2 3 2" xfId="4726"/>
    <cellStyle name="常规 8 9 2 4" xfId="4727"/>
    <cellStyle name="常规 8 9 2 4 2" xfId="4728"/>
    <cellStyle name="常规 8 9 2 5" xfId="4729"/>
    <cellStyle name="常规 8 9 3" xfId="4730"/>
    <cellStyle name="常规 8 9 3 2" xfId="4731"/>
    <cellStyle name="常规 8 9 3 2 2" xfId="4732"/>
    <cellStyle name="常规 8 9 3 3" xfId="4733"/>
    <cellStyle name="常规 8 9 3 3 2" xfId="4734"/>
    <cellStyle name="常规 8 9 3 4" xfId="4735"/>
    <cellStyle name="常规 8 9 4" xfId="4736"/>
    <cellStyle name="常规 8 9 4 2" xfId="4737"/>
    <cellStyle name="常规 8 9 4 2 2" xfId="4738"/>
    <cellStyle name="常规 8 9 4 3" xfId="4739"/>
    <cellStyle name="常规 8 9 5" xfId="4740"/>
    <cellStyle name="常规 8 9 5 2" xfId="4741"/>
    <cellStyle name="常规 8 9 6" xfId="4742"/>
    <cellStyle name="常规 8_9、2018年市本级政府预算重点民生项目表" xfId="4743"/>
    <cellStyle name="常规 80" xfId="312"/>
    <cellStyle name="常规 80 2" xfId="1950"/>
    <cellStyle name="常规 81" xfId="1958"/>
    <cellStyle name="常规 81 2" xfId="1961"/>
    <cellStyle name="常规 82" xfId="1964"/>
    <cellStyle name="常规 82 2" xfId="4331"/>
    <cellStyle name="常规 83" xfId="4333"/>
    <cellStyle name="常规 83 2" xfId="4335"/>
    <cellStyle name="常规 84" xfId="4337"/>
    <cellStyle name="常规 84 2" xfId="4339"/>
    <cellStyle name="常规 85" xfId="4745"/>
    <cellStyle name="常规 85 2" xfId="4747"/>
    <cellStyle name="常规 86" xfId="4749"/>
    <cellStyle name="常规 86 2" xfId="4751"/>
    <cellStyle name="常规 87" xfId="4753"/>
    <cellStyle name="常规 87 2" xfId="4755"/>
    <cellStyle name="常规 88" xfId="4305"/>
    <cellStyle name="常规 88 2" xfId="4757"/>
    <cellStyle name="常规 89" xfId="4759"/>
    <cellStyle name="常规 89 2" xfId="4761"/>
    <cellStyle name="常规 9" xfId="4762"/>
    <cellStyle name="常规 9 2" xfId="4763"/>
    <cellStyle name="常规 9 2 2" xfId="4764"/>
    <cellStyle name="常规 9 2 2 2" xfId="4765"/>
    <cellStyle name="常规 9 2 2 2 2" xfId="4766"/>
    <cellStyle name="常规 9 2 2 3" xfId="4767"/>
    <cellStyle name="常规 9 2 3" xfId="4768"/>
    <cellStyle name="常规 9 2 3 2" xfId="4769"/>
    <cellStyle name="常规 9 2 4" xfId="4770"/>
    <cellStyle name="常规 9 2 4 2" xfId="4771"/>
    <cellStyle name="常规 9 2 5" xfId="4772"/>
    <cellStyle name="常规 9 3" xfId="579"/>
    <cellStyle name="常规 9 3 2" xfId="4773"/>
    <cellStyle name="常规 9 3 2 2" xfId="4774"/>
    <cellStyle name="常规 9 3 3" xfId="4775"/>
    <cellStyle name="常规 9 3 3 2" xfId="4776"/>
    <cellStyle name="常规 9 3 4" xfId="4777"/>
    <cellStyle name="常规 9 4" xfId="4778"/>
    <cellStyle name="常规 9 4 2" xfId="4779"/>
    <cellStyle name="常规 9 4 2 2" xfId="4780"/>
    <cellStyle name="常规 9 4 3" xfId="4781"/>
    <cellStyle name="常规 9 5" xfId="4782"/>
    <cellStyle name="常规 9 5 2" xfId="4783"/>
    <cellStyle name="常规 9 6" xfId="4784"/>
    <cellStyle name="常规 90" xfId="4744"/>
    <cellStyle name="常规 90 2" xfId="4746"/>
    <cellStyle name="常规 91" xfId="4748"/>
    <cellStyle name="常规 91 2" xfId="4750"/>
    <cellStyle name="常规 92" xfId="4752"/>
    <cellStyle name="常规 92 2" xfId="4754"/>
    <cellStyle name="常规 93" xfId="4304"/>
    <cellStyle name="常规 93 2" xfId="4756"/>
    <cellStyle name="常规 94" xfId="4758"/>
    <cellStyle name="常规 94 2" xfId="4760"/>
    <cellStyle name="常规 95" xfId="4785"/>
    <cellStyle name="常规 95 2" xfId="4786"/>
    <cellStyle name="常规 96" xfId="4787"/>
    <cellStyle name="常规 96 2" xfId="4788"/>
    <cellStyle name="常规 97" xfId="4789"/>
    <cellStyle name="常规 97 2" xfId="4790"/>
    <cellStyle name="常规 98" xfId="4791"/>
    <cellStyle name="常规 98 2" xfId="3689"/>
    <cellStyle name="常规_080102预算处统计08年预算基础数据" xfId="4792"/>
    <cellStyle name="常规_09年决算参阅资料(常委会定)" xfId="4793"/>
    <cellStyle name="常规_2013年预算表格(3月15报省表内公式表)" xfId="4794"/>
    <cellStyle name="常规_2014年本级基金支出" xfId="4795"/>
    <cellStyle name="常规_2014年上半年执行执行表格(8.27常委会)" xfId="4796"/>
    <cellStyle name="常规_2015市本级年社会保险基金预算表" xfId="4797"/>
    <cellStyle name="常规_7、2018年预算政府一般和专项债务限额和余额情况表" xfId="4798"/>
    <cellStyle name="常规_8、2018年市本级政府性基金预算转移支付情况表" xfId="4799"/>
    <cellStyle name="常规_9、2018年市本级政府预算重点民生项目表" xfId="4081"/>
    <cellStyle name="常规_Book1" xfId="4800"/>
    <cellStyle name="常规_Book1_2015年预算市级支出和平衡表" xfId="4801"/>
    <cellStyle name="常规_Book1_大财经委人大执行07预算08" xfId="59"/>
    <cellStyle name="常规_Book1_人大执行06预算07" xfId="4802"/>
    <cellStyle name="常规_Book1_执行09预算10(1.4)" xfId="4803"/>
    <cellStyle name="常规_Sheet1 2 2" xfId="4804"/>
    <cellStyle name="常规_报送2006年财政收支预计完成情况预计表（市州）！！！" xfId="4805"/>
    <cellStyle name="常规_全省收入" xfId="4806"/>
    <cellStyle name="常规_市本级" xfId="4807"/>
    <cellStyle name="常规_市本级2012年预算(12.10)" xfId="4808"/>
    <cellStyle name="常规_预算执行" xfId="4809"/>
    <cellStyle name="常规_预算执行2000预算2001" xfId="4810"/>
    <cellStyle name="分级显示行_1_13区汇总" xfId="4811"/>
    <cellStyle name="好 2" xfId="2163"/>
    <cellStyle name="好 2 2" xfId="2166"/>
    <cellStyle name="好 2 2 2" xfId="4812"/>
    <cellStyle name="好 2 3" xfId="4813"/>
    <cellStyle name="好 2 3 2" xfId="4814"/>
    <cellStyle name="好 3" xfId="2169"/>
    <cellStyle name="好 3 2" xfId="4815"/>
    <cellStyle name="好 3 3" xfId="4816"/>
    <cellStyle name="好 3_2017年人大参阅资料（代表大会-定）1.14" xfId="4817"/>
    <cellStyle name="好 4" xfId="676"/>
    <cellStyle name="好 4 2" xfId="2235"/>
    <cellStyle name="好 5" xfId="924"/>
    <cellStyle name="好_2015年市本级全口径预算草案 - 副本" xfId="4818"/>
    <cellStyle name="好_7、2018年预算政府一般和专项债务限额和余额情况表" xfId="4819"/>
    <cellStyle name="好_9、2018年市本级政府预算重点民生项目表" xfId="4820"/>
    <cellStyle name="好_表一 1" xfId="4821"/>
    <cellStyle name="好_表一 1 2" xfId="4822"/>
    <cellStyle name="好_表一 1 3" xfId="4823"/>
    <cellStyle name="好_表一 1 3 2" xfId="4824"/>
    <cellStyle name="好_大通湖" xfId="4825"/>
    <cellStyle name="好_德山" xfId="4341"/>
    <cellStyle name="好_德山 2" xfId="4365"/>
    <cellStyle name="好_德山 3" xfId="3235"/>
    <cellStyle name="好_德山 3 2" xfId="4467"/>
    <cellStyle name="好_附件2 益阳市市级国有资本经营预算表(4)" xfId="4826"/>
    <cellStyle name="好_附件2 益阳市市级国有资本经营预算表(定稿)" xfId="4827"/>
    <cellStyle name="好_市本级" xfId="4828"/>
    <cellStyle name="好_市本级 2" xfId="4829"/>
    <cellStyle name="好_市本级 3" xfId="4830"/>
    <cellStyle name="好_市本级 3 2" xfId="4831"/>
    <cellStyle name="好_武陵" xfId="4832"/>
    <cellStyle name="好_武陵 2" xfId="4833"/>
    <cellStyle name="好_武陵 3" xfId="4834"/>
    <cellStyle name="好_武陵 3 2" xfId="2023"/>
    <cellStyle name="好_湘潭" xfId="2095"/>
    <cellStyle name="好_湘潭 2" xfId="2097"/>
    <cellStyle name="好_湘潭 3" xfId="2101"/>
    <cellStyle name="好_湘潭 3 2" xfId="4835"/>
    <cellStyle name="好_岳塘区" xfId="4388"/>
    <cellStyle name="好_岳塘区 2" xfId="4390"/>
    <cellStyle name="好_岳塘区 3" xfId="4836"/>
    <cellStyle name="好_岳塘区 3 2" xfId="4837"/>
    <cellStyle name="好_岳阳楼区11年地方财政预算表" xfId="4839"/>
    <cellStyle name="好_岳阳楼区11年地方财政预算表 2" xfId="4840"/>
    <cellStyle name="好_岳阳楼区11年地方财政预算表 3" xfId="4841"/>
    <cellStyle name="好_岳阳楼区11年地方财政预算表 3 2" xfId="4842"/>
    <cellStyle name="好_长沙" xfId="4843"/>
    <cellStyle name="好_长沙 2" xfId="4844"/>
    <cellStyle name="好_长沙 2 2" xfId="4845"/>
    <cellStyle name="好_长沙 3" xfId="4846"/>
    <cellStyle name="好_长沙 4" xfId="4847"/>
    <cellStyle name="汇总 2" xfId="4848"/>
    <cellStyle name="汇总 2 2" xfId="4849"/>
    <cellStyle name="汇总 2 2 2" xfId="4850"/>
    <cellStyle name="汇总 2 2 2 2" xfId="2317"/>
    <cellStyle name="汇总 2 2 3" xfId="4851"/>
    <cellStyle name="汇总 2 2 3 2" xfId="4852"/>
    <cellStyle name="汇总 2 2 4" xfId="4853"/>
    <cellStyle name="汇总 2 3" xfId="4854"/>
    <cellStyle name="汇总 2 3 2" xfId="4855"/>
    <cellStyle name="汇总 2 3 2 2" xfId="2344"/>
    <cellStyle name="汇总 2 3 3" xfId="4856"/>
    <cellStyle name="汇总 2 3 3 2" xfId="4857"/>
    <cellStyle name="汇总 2 3 4" xfId="4858"/>
    <cellStyle name="汇总 2 4" xfId="4859"/>
    <cellStyle name="汇总 2 4 2" xfId="4860"/>
    <cellStyle name="汇总 2 5" xfId="4861"/>
    <cellStyle name="汇总 2 5 2" xfId="4862"/>
    <cellStyle name="汇总 2 6" xfId="4863"/>
    <cellStyle name="汇总 2 6 2" xfId="4864"/>
    <cellStyle name="汇总 2 7" xfId="4865"/>
    <cellStyle name="汇总 3" xfId="4866"/>
    <cellStyle name="汇总 3 2" xfId="4867"/>
    <cellStyle name="汇总 3 2 2" xfId="4868"/>
    <cellStyle name="汇总 3 2 2 2" xfId="4869"/>
    <cellStyle name="汇总 3 2 3" xfId="4870"/>
    <cellStyle name="汇总 3 2 3 2" xfId="4871"/>
    <cellStyle name="汇总 3 2 4" xfId="4872"/>
    <cellStyle name="汇总 3 3" xfId="4873"/>
    <cellStyle name="汇总 3 3 2" xfId="4874"/>
    <cellStyle name="汇总 3 3 2 2" xfId="4875"/>
    <cellStyle name="汇总 3 3 3" xfId="4876"/>
    <cellStyle name="汇总 3 3 3 2" xfId="4877"/>
    <cellStyle name="汇总 3 3 4" xfId="4878"/>
    <cellStyle name="汇总 3 4" xfId="4879"/>
    <cellStyle name="汇总 3 4 2" xfId="4880"/>
    <cellStyle name="汇总 3 5" xfId="4881"/>
    <cellStyle name="汇总 3 5 2" xfId="165"/>
    <cellStyle name="汇总 3 6" xfId="4882"/>
    <cellStyle name="汇总 3 6 2" xfId="4883"/>
    <cellStyle name="汇总 3 7" xfId="4884"/>
    <cellStyle name="汇总 3_2017年人大参阅资料（代表大会-定）1.14" xfId="732"/>
    <cellStyle name="汇总 4" xfId="4885"/>
    <cellStyle name="汇总 4 2" xfId="4886"/>
    <cellStyle name="汇总 5" xfId="293"/>
    <cellStyle name="货币[0] 2" xfId="4414"/>
    <cellStyle name="货币[0] 2 2" xfId="4416"/>
    <cellStyle name="货币[0] 2 2 2" xfId="4887"/>
    <cellStyle name="货币[0] 2 3" xfId="4888"/>
    <cellStyle name="货币[0] 3" xfId="4418"/>
    <cellStyle name="货币[0] 3 2" xfId="4889"/>
    <cellStyle name="货币[0] 3 2 2" xfId="4890"/>
    <cellStyle name="货币[0] 3 3" xfId="4891"/>
    <cellStyle name="计算 2" xfId="4892"/>
    <cellStyle name="计算 2 2" xfId="4893"/>
    <cellStyle name="计算 2 2 2" xfId="4894"/>
    <cellStyle name="计算 2 2 2 2" xfId="4895"/>
    <cellStyle name="计算 2 2 3" xfId="4896"/>
    <cellStyle name="计算 2 2 3 2" xfId="4897"/>
    <cellStyle name="计算 2 2 4" xfId="1060"/>
    <cellStyle name="计算 2 3" xfId="4898"/>
    <cellStyle name="计算 2 3 2" xfId="4899"/>
    <cellStyle name="计算 2 3 2 2" xfId="4900"/>
    <cellStyle name="计算 2 3 3" xfId="4902"/>
    <cellStyle name="计算 2 3 3 2" xfId="4903"/>
    <cellStyle name="计算 2 3 4" xfId="4904"/>
    <cellStyle name="计算 2 4" xfId="4905"/>
    <cellStyle name="计算 2 4 2" xfId="4906"/>
    <cellStyle name="计算 2 5" xfId="4907"/>
    <cellStyle name="计算 2 5 2" xfId="4908"/>
    <cellStyle name="计算 2 6" xfId="4909"/>
    <cellStyle name="计算 2 6 2" xfId="4910"/>
    <cellStyle name="计算 2 7" xfId="4911"/>
    <cellStyle name="计算 3" xfId="4912"/>
    <cellStyle name="计算 3 2" xfId="4913"/>
    <cellStyle name="计算 3 2 2" xfId="4914"/>
    <cellStyle name="计算 3 2 2 2" xfId="4915"/>
    <cellStyle name="计算 3 2 3" xfId="4916"/>
    <cellStyle name="计算 3 2 3 2" xfId="4917"/>
    <cellStyle name="计算 3 2 4" xfId="4918"/>
    <cellStyle name="计算 3 3" xfId="4919"/>
    <cellStyle name="计算 3 3 2" xfId="4920"/>
    <cellStyle name="计算 3 3 2 2" xfId="4921"/>
    <cellStyle name="计算 3 3 3" xfId="4922"/>
    <cellStyle name="计算 3 3 3 2" xfId="4923"/>
    <cellStyle name="计算 3 3 4" xfId="4924"/>
    <cellStyle name="计算 3 4" xfId="4469"/>
    <cellStyle name="计算 3 4 2" xfId="4471"/>
    <cellStyle name="计算 3 5" xfId="4479"/>
    <cellStyle name="计算 3 5 2" xfId="1486"/>
    <cellStyle name="计算 3 6" xfId="4481"/>
    <cellStyle name="计算 3 6 2" xfId="4483"/>
    <cellStyle name="计算 3 7" xfId="4486"/>
    <cellStyle name="计算 3_2017年人大参阅资料（代表大会-定）1.14" xfId="4925"/>
    <cellStyle name="计算 4" xfId="4926"/>
    <cellStyle name="计算 4 2" xfId="4927"/>
    <cellStyle name="计算 5" xfId="4928"/>
    <cellStyle name="检查单元格 2" xfId="4929"/>
    <cellStyle name="检查单元格 2 2" xfId="4930"/>
    <cellStyle name="检查单元格 2 2 2" xfId="4931"/>
    <cellStyle name="检查单元格 2 3" xfId="4932"/>
    <cellStyle name="检查单元格 2 4" xfId="4933"/>
    <cellStyle name="检查单元格 2 4 2" xfId="4934"/>
    <cellStyle name="检查单元格 3" xfId="4935"/>
    <cellStyle name="检查单元格 3 2" xfId="4936"/>
    <cellStyle name="检查单元格 3 3" xfId="4937"/>
    <cellStyle name="检查单元格 3_2017年人大参阅资料（代表大会-定）1.14" xfId="2703"/>
    <cellStyle name="检查单元格 4" xfId="4938"/>
    <cellStyle name="检查单元格 4 2" xfId="4939"/>
    <cellStyle name="检查单元格 5" xfId="2786"/>
    <cellStyle name="解释性文本 2" xfId="4940"/>
    <cellStyle name="解释性文本 2 2" xfId="4941"/>
    <cellStyle name="解释性文本 2 2 2" xfId="4942"/>
    <cellStyle name="解释性文本 2 3" xfId="4943"/>
    <cellStyle name="解释性文本 2 3 2" xfId="4944"/>
    <cellStyle name="解释性文本 3" xfId="4945"/>
    <cellStyle name="解释性文本 3 2" xfId="4946"/>
    <cellStyle name="解释性文本 3 3" xfId="4947"/>
    <cellStyle name="解释性文本 3_2017年人大参阅资料（代表大会-定）1.14" xfId="4948"/>
    <cellStyle name="解释性文本 4" xfId="4949"/>
    <cellStyle name="解释性文本 4 2" xfId="4950"/>
    <cellStyle name="解释性文本 5" xfId="4951"/>
    <cellStyle name="警告文本 2" xfId="4952"/>
    <cellStyle name="警告文本 2 2" xfId="4953"/>
    <cellStyle name="警告文本 2 2 2" xfId="4954"/>
    <cellStyle name="警告文本 2 3" xfId="4955"/>
    <cellStyle name="警告文本 2 3 2" xfId="4956"/>
    <cellStyle name="警告文本 3" xfId="4957"/>
    <cellStyle name="警告文本 3 2" xfId="4958"/>
    <cellStyle name="警告文本 3 3" xfId="4959"/>
    <cellStyle name="警告文本 3_2017年人大参阅资料（代表大会-定）1.14" xfId="4960"/>
    <cellStyle name="警告文本 4" xfId="4961"/>
    <cellStyle name="警告文本 4 2" xfId="4962"/>
    <cellStyle name="警告文本 5" xfId="4963"/>
    <cellStyle name="链接单元格 2" xfId="4964"/>
    <cellStyle name="链接单元格 2 2" xfId="4965"/>
    <cellStyle name="链接单元格 2 2 2" xfId="4966"/>
    <cellStyle name="链接单元格 2 3" xfId="4967"/>
    <cellStyle name="链接单元格 2 3 2" xfId="4968"/>
    <cellStyle name="链接单元格 3" xfId="4969"/>
    <cellStyle name="链接单元格 3 2" xfId="4970"/>
    <cellStyle name="链接单元格 3 2 2" xfId="4971"/>
    <cellStyle name="链接单元格 3 3" xfId="4972"/>
    <cellStyle name="链接单元格 3_2017年人大参阅资料（代表大会-定）1.14" xfId="4901"/>
    <cellStyle name="链接单元格 4" xfId="4973"/>
    <cellStyle name="链接单元格 4 2" xfId="4974"/>
    <cellStyle name="链接单元格 5" xfId="3654"/>
    <cellStyle name="霓付 [0]_ +Foil &amp; -FOIL &amp; PAPER" xfId="4975"/>
    <cellStyle name="霓付_ +Foil &amp; -FOIL &amp; PAPER" xfId="4976"/>
    <cellStyle name="烹拳 [0]_ +Foil &amp; -FOIL &amp; PAPER" xfId="4977"/>
    <cellStyle name="烹拳_ +Foil &amp; -FOIL &amp; PAPER" xfId="4978"/>
    <cellStyle name="普通_ 白土" xfId="4979"/>
    <cellStyle name="千分位[0]_ 白土" xfId="2679"/>
    <cellStyle name="千分位_ 白土" xfId="4980"/>
    <cellStyle name="千位[0]_1" xfId="4981"/>
    <cellStyle name="千位_1" xfId="4982"/>
    <cellStyle name="千位分隔 2" xfId="4983"/>
    <cellStyle name="千位分隔 2 2" xfId="4984"/>
    <cellStyle name="千位分隔 3" xfId="4985"/>
    <cellStyle name="千位分隔 3 2" xfId="4986"/>
    <cellStyle name="千位分隔 4" xfId="4987"/>
    <cellStyle name="千位分隔 4 2" xfId="4988"/>
    <cellStyle name="千位分隔 5" xfId="4989"/>
    <cellStyle name="千位分隔 5 2" xfId="4990"/>
    <cellStyle name="千位分隔[0] 2" xfId="4991"/>
    <cellStyle name="千位分隔[0] 2 2" xfId="4992"/>
    <cellStyle name="千位分隔[0] 2 2 2" xfId="4993"/>
    <cellStyle name="千位分隔[0] 2 3" xfId="4994"/>
    <cellStyle name="千位分隔[0] 3" xfId="4995"/>
    <cellStyle name="千位分隔[0] 3 2" xfId="4996"/>
    <cellStyle name="千位分隔[0] 3 2 2" xfId="3408"/>
    <cellStyle name="千位分隔[0] 3 3" xfId="4997"/>
    <cellStyle name="千位分隔[0] 4" xfId="4998"/>
    <cellStyle name="千位分隔[0] 4 2" xfId="4999"/>
    <cellStyle name="千位分季_新建 Microsoft Excel 工作表" xfId="5000"/>
    <cellStyle name="钎霖_7.1" xfId="5001"/>
    <cellStyle name="强调文字颜色 1 2" xfId="5002"/>
    <cellStyle name="强调文字颜色 1 2 2" xfId="5003"/>
    <cellStyle name="强调文字颜色 1 2 2 2" xfId="5004"/>
    <cellStyle name="强调文字颜色 1 2 3" xfId="5005"/>
    <cellStyle name="强调文字颜色 1 2 3 2" xfId="5006"/>
    <cellStyle name="强调文字颜色 1 2 4" xfId="3143"/>
    <cellStyle name="强调文字颜色 1 2 4 2" xfId="5007"/>
    <cellStyle name="强调文字颜色 1 3" xfId="5008"/>
    <cellStyle name="强调文字颜色 1 3 2" xfId="5009"/>
    <cellStyle name="强调文字颜色 1 3 2 2" xfId="5010"/>
    <cellStyle name="强调文字颜色 1 3 3" xfId="5011"/>
    <cellStyle name="强调文字颜色 1 3 3 2" xfId="5012"/>
    <cellStyle name="强调文字颜色 1 3 4" xfId="951"/>
    <cellStyle name="强调文字颜色 1 3_2017年人大参阅资料（代表大会-定）1.14" xfId="5013"/>
    <cellStyle name="强调文字颜色 1 4" xfId="5014"/>
    <cellStyle name="强调文字颜色 1 4 2" xfId="5015"/>
    <cellStyle name="强调文字颜色 1 5" xfId="5016"/>
    <cellStyle name="强调文字颜色 2 2" xfId="5017"/>
    <cellStyle name="强调文字颜色 2 2 2" xfId="5018"/>
    <cellStyle name="强调文字颜色 2 2 2 2" xfId="150"/>
    <cellStyle name="强调文字颜色 2 2 3" xfId="5019"/>
    <cellStyle name="强调文字颜色 2 2 3 2" xfId="251"/>
    <cellStyle name="强调文字颜色 2 2 4" xfId="3150"/>
    <cellStyle name="强调文字颜色 2 2 4 2" xfId="101"/>
    <cellStyle name="强调文字颜色 2 3" xfId="5020"/>
    <cellStyle name="强调文字颜色 2 3 2" xfId="5021"/>
    <cellStyle name="强调文字颜色 2 3 2 2" xfId="5022"/>
    <cellStyle name="强调文字颜色 2 3 3" xfId="5023"/>
    <cellStyle name="强调文字颜色 2 3 3 2" xfId="5024"/>
    <cellStyle name="强调文字颜色 2 3 4" xfId="5025"/>
    <cellStyle name="强调文字颜色 2 3_2017年人大参阅资料（代表大会-定）1.14" xfId="441"/>
    <cellStyle name="强调文字颜色 2 4" xfId="5026"/>
    <cellStyle name="强调文字颜色 2 4 2" xfId="5027"/>
    <cellStyle name="强调文字颜色 2 5" xfId="5028"/>
    <cellStyle name="强调文字颜色 3 2" xfId="5029"/>
    <cellStyle name="强调文字颜色 3 2 2" xfId="5030"/>
    <cellStyle name="强调文字颜色 3 2 2 2" xfId="5031"/>
    <cellStyle name="强调文字颜色 3 2 3" xfId="5032"/>
    <cellStyle name="强调文字颜色 3 2 3 2" xfId="5033"/>
    <cellStyle name="强调文字颜色 3 2 4" xfId="5034"/>
    <cellStyle name="强调文字颜色 3 2 4 2" xfId="5035"/>
    <cellStyle name="强调文字颜色 3 3" xfId="2653"/>
    <cellStyle name="强调文字颜色 3 3 2" xfId="5036"/>
    <cellStyle name="强调文字颜色 3 3 2 2" xfId="5037"/>
    <cellStyle name="强调文字颜色 3 3 3" xfId="5038"/>
    <cellStyle name="强调文字颜色 3 3 3 2" xfId="5039"/>
    <cellStyle name="强调文字颜色 3 3 4" xfId="5040"/>
    <cellStyle name="强调文字颜色 3 3_2017年人大参阅资料（代表大会-定）1.14" xfId="5041"/>
    <cellStyle name="强调文字颜色 3 4" xfId="5042"/>
    <cellStyle name="强调文字颜色 3 4 2" xfId="5043"/>
    <cellStyle name="强调文字颜色 3 5" xfId="5044"/>
    <cellStyle name="强调文字颜色 4 2" xfId="4295"/>
    <cellStyle name="强调文字颜色 4 2 2" xfId="5045"/>
    <cellStyle name="强调文字颜色 4 2 2 2" xfId="5046"/>
    <cellStyle name="强调文字颜色 4 2 3" xfId="5047"/>
    <cellStyle name="强调文字颜色 4 2 3 2" xfId="5048"/>
    <cellStyle name="强调文字颜色 4 2 4" xfId="5049"/>
    <cellStyle name="强调文字颜色 4 2 4 2" xfId="5050"/>
    <cellStyle name="强调文字颜色 4 3" xfId="5051"/>
    <cellStyle name="强调文字颜色 4 3 2" xfId="5052"/>
    <cellStyle name="强调文字颜色 4 3 2 2" xfId="5053"/>
    <cellStyle name="强调文字颜色 4 3 3" xfId="5054"/>
    <cellStyle name="强调文字颜色 4 3 3 2" xfId="5055"/>
    <cellStyle name="强调文字颜色 4 3 4" xfId="5056"/>
    <cellStyle name="强调文字颜色 4 3_2017年人大参阅资料（代表大会-定）1.14" xfId="5057"/>
    <cellStyle name="强调文字颜色 4 4" xfId="5058"/>
    <cellStyle name="强调文字颜色 4 4 2" xfId="5059"/>
    <cellStyle name="强调文字颜色 4 5" xfId="5060"/>
    <cellStyle name="强调文字颜色 5 2" xfId="5061"/>
    <cellStyle name="强调文字颜色 5 2 2" xfId="5062"/>
    <cellStyle name="强调文字颜色 5 2 2 2" xfId="5063"/>
    <cellStyle name="强调文字颜色 5 2 3" xfId="5064"/>
    <cellStyle name="强调文字颜色 5 2 3 2" xfId="5065"/>
    <cellStyle name="强调文字颜色 5 2 4" xfId="5066"/>
    <cellStyle name="强调文字颜色 5 2 4 2" xfId="5067"/>
    <cellStyle name="强调文字颜色 5 3" xfId="3852"/>
    <cellStyle name="强调文字颜色 5 3 2" xfId="5068"/>
    <cellStyle name="强调文字颜色 5 3 2 2" xfId="5069"/>
    <cellStyle name="强调文字颜色 5 3 3" xfId="5070"/>
    <cellStyle name="强调文字颜色 5 3 3 2" xfId="5071"/>
    <cellStyle name="强调文字颜色 5 3 4" xfId="5072"/>
    <cellStyle name="强调文字颜色 5 3_2017年人大参阅资料（代表大会-定）1.14" xfId="5073"/>
    <cellStyle name="强调文字颜色 5 4" xfId="5074"/>
    <cellStyle name="强调文字颜色 5 4 2" xfId="5075"/>
    <cellStyle name="强调文字颜色 5 5" xfId="5076"/>
    <cellStyle name="强调文字颜色 6 2" xfId="5077"/>
    <cellStyle name="强调文字颜色 6 2 2" xfId="5078"/>
    <cellStyle name="强调文字颜色 6 2 2 2" xfId="5079"/>
    <cellStyle name="强调文字颜色 6 2 3" xfId="5080"/>
    <cellStyle name="强调文字颜色 6 2 3 2" xfId="5081"/>
    <cellStyle name="强调文字颜色 6 2 4" xfId="5082"/>
    <cellStyle name="强调文字颜色 6 2 4 2" xfId="5083"/>
    <cellStyle name="强调文字颜色 6 3" xfId="5084"/>
    <cellStyle name="强调文字颜色 6 3 2" xfId="5085"/>
    <cellStyle name="强调文字颜色 6 3 2 2" xfId="5086"/>
    <cellStyle name="强调文字颜色 6 3 3" xfId="5087"/>
    <cellStyle name="强调文字颜色 6 3 3 2" xfId="5088"/>
    <cellStyle name="强调文字颜色 6 3 4" xfId="5089"/>
    <cellStyle name="强调文字颜色 6 3_2017年人大参阅资料（代表大会-定）1.14" xfId="5090"/>
    <cellStyle name="强调文字颜色 6 4" xfId="5091"/>
    <cellStyle name="强调文字颜色 6 4 2" xfId="5092"/>
    <cellStyle name="强调文字颜色 6 5" xfId="5093"/>
    <cellStyle name="适中 2" xfId="5094"/>
    <cellStyle name="适中 2 2" xfId="5095"/>
    <cellStyle name="适中 2 2 2" xfId="5096"/>
    <cellStyle name="适中 2 3" xfId="5097"/>
    <cellStyle name="适中 3" xfId="5098"/>
    <cellStyle name="适中 3 2" xfId="5099"/>
    <cellStyle name="适中 3 2 2" xfId="5100"/>
    <cellStyle name="适中 3 3" xfId="5101"/>
    <cellStyle name="适中 4" xfId="5102"/>
    <cellStyle name="适中 4 2" xfId="5103"/>
    <cellStyle name="适中 5" xfId="5104"/>
    <cellStyle name="输出 2" xfId="5105"/>
    <cellStyle name="输出 2 2" xfId="5106"/>
    <cellStyle name="输出 2 2 2" xfId="5107"/>
    <cellStyle name="输出 2 2 2 2" xfId="5108"/>
    <cellStyle name="输出 2 2 3" xfId="5109"/>
    <cellStyle name="输出 2 2 3 2" xfId="5110"/>
    <cellStyle name="输出 2 2 4" xfId="5111"/>
    <cellStyle name="输出 2 3" xfId="5112"/>
    <cellStyle name="输出 2 3 2" xfId="5113"/>
    <cellStyle name="输出 2 3 2 2" xfId="5114"/>
    <cellStyle name="输出 2 3 3" xfId="5115"/>
    <cellStyle name="输出 2 3 3 2" xfId="5116"/>
    <cellStyle name="输出 2 3 4" xfId="3242"/>
    <cellStyle name="输出 2 4" xfId="5117"/>
    <cellStyle name="输出 2 4 2" xfId="5118"/>
    <cellStyle name="输出 2 5" xfId="5119"/>
    <cellStyle name="输出 2 5 2" xfId="5120"/>
    <cellStyle name="输出 2 6" xfId="5121"/>
    <cellStyle name="输出 3" xfId="5122"/>
    <cellStyle name="输出 3 2" xfId="5123"/>
    <cellStyle name="输出 3 2 2" xfId="5124"/>
    <cellStyle name="输出 3 2 2 2" xfId="5125"/>
    <cellStyle name="输出 3 2 3" xfId="5126"/>
    <cellStyle name="输出 3 2 3 2" xfId="5127"/>
    <cellStyle name="输出 3 2 4" xfId="5128"/>
    <cellStyle name="输出 3 3" xfId="5129"/>
    <cellStyle name="输出 3 3 2" xfId="5130"/>
    <cellStyle name="输出 3 3 2 2" xfId="5131"/>
    <cellStyle name="输出 3 3 3" xfId="5132"/>
    <cellStyle name="输出 3 3 3 2" xfId="5133"/>
    <cellStyle name="输出 3 3 4" xfId="3321"/>
    <cellStyle name="输出 3 4" xfId="5134"/>
    <cellStyle name="输出 3 4 2" xfId="5135"/>
    <cellStyle name="输出 3 5" xfId="5136"/>
    <cellStyle name="输出 3 5 2" xfId="5137"/>
    <cellStyle name="输出 3 6" xfId="5138"/>
    <cellStyle name="输出 3_2017年人大参阅资料（代表大会-定）1.14" xfId="5139"/>
    <cellStyle name="输出 4" xfId="5140"/>
    <cellStyle name="输出 4 2" xfId="5141"/>
    <cellStyle name="输出 5" xfId="5142"/>
    <cellStyle name="输入 2" xfId="2884"/>
    <cellStyle name="输入 2 2" xfId="2887"/>
    <cellStyle name="输入 2 2 2" xfId="1667"/>
    <cellStyle name="输入 2 2 2 2" xfId="1672"/>
    <cellStyle name="输入 2 2 3" xfId="1676"/>
    <cellStyle name="输入 2 2 3 2" xfId="1679"/>
    <cellStyle name="输入 2 2 4" xfId="1682"/>
    <cellStyle name="输入 2 3" xfId="3374"/>
    <cellStyle name="输入 2 3 2" xfId="1691"/>
    <cellStyle name="输入 2 3 2 2" xfId="1696"/>
    <cellStyle name="输入 2 3 3" xfId="1702"/>
    <cellStyle name="输入 2 3 3 2" xfId="3376"/>
    <cellStyle name="输入 2 3 4" xfId="3378"/>
    <cellStyle name="输入 2 4" xfId="3381"/>
    <cellStyle name="输入 2 4 2" xfId="1709"/>
    <cellStyle name="输入 2 5" xfId="3388"/>
    <cellStyle name="输入 2 5 2" xfId="3391"/>
    <cellStyle name="输入 2 6" xfId="3394"/>
    <cellStyle name="输入 2 6 2" xfId="5143"/>
    <cellStyle name="输入 2 7" xfId="5144"/>
    <cellStyle name="输入 3" xfId="2890"/>
    <cellStyle name="输入 3 2" xfId="2893"/>
    <cellStyle name="输入 4" xfId="5145"/>
    <cellStyle name="输入 4 2" xfId="5146"/>
    <cellStyle name="输入 5" xfId="5147"/>
    <cellStyle name="数字" xfId="5148"/>
    <cellStyle name="数字 2" xfId="5149"/>
    <cellStyle name="数字 2 2" xfId="5150"/>
    <cellStyle name="数字 2 2 2" xfId="5151"/>
    <cellStyle name="数字 2 3" xfId="5152"/>
    <cellStyle name="数字 3" xfId="5153"/>
    <cellStyle name="未定义" xfId="5154"/>
    <cellStyle name="未定义 2" xfId="5155"/>
    <cellStyle name="未定义 3" xfId="5156"/>
    <cellStyle name="小数" xfId="5157"/>
    <cellStyle name="小数 2" xfId="5158"/>
    <cellStyle name="小数 2 2" xfId="5159"/>
    <cellStyle name="小数 2 2 2" xfId="5160"/>
    <cellStyle name="小数 2 3" xfId="5161"/>
    <cellStyle name="小数 3" xfId="5162"/>
    <cellStyle name="样式 1" xfId="5163"/>
    <cellStyle name="样式 1 2" xfId="5164"/>
    <cellStyle name="样式 1 2 2" xfId="5165"/>
    <cellStyle name="样式 1 2 2 2" xfId="5166"/>
    <cellStyle name="样式 1 2 3" xfId="5167"/>
    <cellStyle name="样式 1 2 3 2" xfId="5168"/>
    <cellStyle name="样式 1 2 4" xfId="5169"/>
    <cellStyle name="样式 1 3" xfId="5170"/>
    <cellStyle name="样式 1 3 2" xfId="5171"/>
    <cellStyle name="样式 1 4" xfId="5172"/>
    <cellStyle name="样式 1 5" xfId="5173"/>
    <cellStyle name="样式 1_9、2018年市本级政府预算重点民生项目表" xfId="4838"/>
    <cellStyle name="样式 2" xfId="5174"/>
    <cellStyle name="样式 3" xfId="5175"/>
    <cellStyle name="注释 2" xfId="789"/>
    <cellStyle name="注释 2 2" xfId="5176"/>
    <cellStyle name="注释 2 2 2" xfId="5177"/>
    <cellStyle name="注释 2 2 3" xfId="5178"/>
    <cellStyle name="注释 2 3" xfId="5179"/>
    <cellStyle name="注释 2 3 2" xfId="5180"/>
    <cellStyle name="注释 2 3 3" xfId="5181"/>
    <cellStyle name="注释 2 4" xfId="5182"/>
    <cellStyle name="注释 2 5" xfId="5183"/>
    <cellStyle name="注释 3" xfId="5184"/>
    <cellStyle name="注释 3 2" xfId="5185"/>
    <cellStyle name="注释 3 2 2" xfId="5186"/>
    <cellStyle name="注释 3 2 2 2" xfId="5187"/>
    <cellStyle name="注释 3 2 2 2 2" xfId="5188"/>
    <cellStyle name="注释 3 2 2 3" xfId="1689"/>
    <cellStyle name="注释 3 2 2 3 2" xfId="5189"/>
    <cellStyle name="注释 3 2 2 4" xfId="5190"/>
    <cellStyle name="注释 3 2 3" xfId="5191"/>
    <cellStyle name="注释 3 2 3 2" xfId="5192"/>
    <cellStyle name="注释 3 2 4" xfId="5193"/>
    <cellStyle name="注释 3 2 4 2" xfId="5194"/>
    <cellStyle name="注释 3 2 5" xfId="5195"/>
    <cellStyle name="注释 3 3" xfId="5196"/>
    <cellStyle name="注释 3 3 2" xfId="5197"/>
    <cellStyle name="注释 3 3 2 2" xfId="5198"/>
    <cellStyle name="注释 3 3 3" xfId="5199"/>
    <cellStyle name="注释 3 3 3 2" xfId="5200"/>
    <cellStyle name="注释 3 3 4" xfId="5201"/>
    <cellStyle name="注释 3 4" xfId="5202"/>
    <cellStyle name="注释 3 4 2" xfId="5203"/>
    <cellStyle name="注释 3 5" xfId="5204"/>
    <cellStyle name="注释 3 5 2" xfId="5205"/>
    <cellStyle name="注释 3 6" xfId="5206"/>
    <cellStyle name="注释 4" xfId="5207"/>
    <cellStyle name="注释 4 2" xfId="5208"/>
    <cellStyle name="注释 5" xfId="5209"/>
    <cellStyle name="콤마 [0]_BOILER-CO1" xfId="5210"/>
    <cellStyle name="콤마_BOILER-CO1" xfId="5211"/>
    <cellStyle name="통화 [0]_BOILER-CO1" xfId="5212"/>
    <cellStyle name="통화_BOILER-CO1" xfId="3623"/>
    <cellStyle name="표준_0N-HANDLING " xfId="52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8" Type="http://schemas.openxmlformats.org/officeDocument/2006/relationships/worksheet" Target="worksheets/sheet8.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6&#24180;&#25253;&#20154;&#22823;&#20915;&#31639;&#25253;&#21578;/LD.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9579;&#20113;&#33437;/&#38647;&#21147;/2018&#24180;&#37096;&#38376;&#39044;&#31639;1111&#38647;&#21147;/2018&#24180;&#37096;&#38376;&#39044;&#31639;1111&#38647;&#21147;/&#20915;&#31639;/LD.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579;&#20113;&#33437;/&#38647;&#21147;/2018&#24180;&#37096;&#38376;&#39044;&#31639;1111&#38647;&#21147;/2018&#24180;&#37096;&#38376;&#39044;&#31639;1111&#38647;&#21147;/&#20915;&#31639;/2011&#24180;&#39044;&#31639;&#25351;&#26631;&#24080;(12.1.19&#23450;&#312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definedNames>
      <definedName name="BM8_SelectZBM.BM8_ZBMChangeKMM" refersTo="#REF!"/>
      <definedName name="BM8_SelectZBM.BM8_ZBMminusOption" refersTo="#REF!"/>
      <definedName name="BM8_SelectZBM.BM8_ZBMSumOption" refersTo="#REF!"/>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RecoveredExternalLink1"/>
    </sheetNames>
    <definedNames>
      <definedName name="BM8_SelectZBM.BM8_ZBMChangeKMM" refersTo="#REF!"/>
      <definedName name="BM8_SelectZBM.BM8_ZBMminusOption" refersTo="#REF!"/>
      <definedName name="BM8_SelectZBM.BM8_ZBMSumOption" refersTo="#REF!"/>
    </defined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definedNames>
      <definedName name="BM8_SelectZBM.BM8_ZBMChangeKMM" refersTo="#REF!"/>
      <definedName name="BM8_SelectZBM.BM8_ZBMminusOption" refersTo="#REF!"/>
      <definedName name="BM8_SelectZBM.BM8_ZBMSumOption" refersTo="#REF!"/>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指标查询"/>
      <sheetName val="单位指标查询 (原稿)"/>
      <sheetName val="单位指标查询 (农业科排渍)"/>
      <sheetName val="市本级指标帐"/>
      <sheetName val="单位指标科目调整明细表"/>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指标查询"/>
      <sheetName val="单位指标查询 (原稿)"/>
      <sheetName val="单位指标查询 (农业科排渍)"/>
      <sheetName val="市本级指标帐"/>
      <sheetName val="单位指标科目调整明细表"/>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25" workbookViewId="0">
      <selection activeCell="D37" sqref="D37"/>
    </sheetView>
  </sheetViews>
  <sheetFormatPr defaultColWidth="8.75" defaultRowHeight="14.25"/>
  <cols>
    <col min="1" max="1" width="7.875" style="532" customWidth="1"/>
    <col min="2" max="3" width="8.75" style="532"/>
    <col min="4" max="4" width="33" style="532" customWidth="1"/>
    <col min="5" max="5" width="23.75" style="532" customWidth="1"/>
    <col min="6" max="16384" width="8.75" style="532"/>
  </cols>
  <sheetData>
    <row r="1" spans="1:4" ht="27.95" customHeight="1">
      <c r="A1" s="538" t="s">
        <v>0</v>
      </c>
      <c r="B1" s="538"/>
      <c r="C1" s="538"/>
      <c r="D1" s="538"/>
    </row>
    <row r="2" spans="1:4">
      <c r="A2" s="532" t="s">
        <v>1</v>
      </c>
      <c r="B2" s="532" t="s">
        <v>2</v>
      </c>
    </row>
    <row r="3" spans="1:4">
      <c r="A3" s="532" t="s">
        <v>3</v>
      </c>
      <c r="B3" s="532" t="s">
        <v>4</v>
      </c>
    </row>
    <row r="4" spans="1:4">
      <c r="A4" s="532" t="s">
        <v>5</v>
      </c>
      <c r="B4" s="532" t="s">
        <v>6</v>
      </c>
    </row>
    <row r="5" spans="1:4">
      <c r="A5" s="532" t="s">
        <v>7</v>
      </c>
      <c r="B5" s="532" t="s">
        <v>8</v>
      </c>
    </row>
    <row r="6" spans="1:4">
      <c r="A6" s="532" t="s">
        <v>9</v>
      </c>
      <c r="B6" s="532" t="s">
        <v>10</v>
      </c>
    </row>
    <row r="7" spans="1:4">
      <c r="A7" s="532" t="s">
        <v>11</v>
      </c>
      <c r="B7" s="532" t="s">
        <v>12</v>
      </c>
    </row>
    <row r="8" spans="1:4">
      <c r="A8" s="532" t="s">
        <v>13</v>
      </c>
      <c r="B8" s="532" t="s">
        <v>14</v>
      </c>
    </row>
    <row r="9" spans="1:4">
      <c r="A9" s="532" t="s">
        <v>15</v>
      </c>
      <c r="B9" s="532" t="s">
        <v>16</v>
      </c>
    </row>
    <row r="10" spans="1:4">
      <c r="A10" s="532" t="s">
        <v>17</v>
      </c>
      <c r="B10" s="532" t="s">
        <v>18</v>
      </c>
    </row>
    <row r="11" spans="1:4">
      <c r="A11" s="532" t="s">
        <v>19</v>
      </c>
      <c r="B11" s="532" t="s">
        <v>20</v>
      </c>
    </row>
    <row r="12" spans="1:4">
      <c r="A12" s="532" t="s">
        <v>21</v>
      </c>
      <c r="B12" s="532" t="s">
        <v>22</v>
      </c>
    </row>
    <row r="13" spans="1:4">
      <c r="A13" s="532" t="s">
        <v>23</v>
      </c>
      <c r="B13" s="532" t="s">
        <v>24</v>
      </c>
    </row>
    <row r="14" spans="1:4">
      <c r="A14" s="532" t="s">
        <v>25</v>
      </c>
      <c r="B14" s="532" t="s">
        <v>26</v>
      </c>
    </row>
    <row r="15" spans="1:4">
      <c r="A15" s="532" t="s">
        <v>27</v>
      </c>
      <c r="B15" s="532" t="s">
        <v>28</v>
      </c>
    </row>
    <row r="16" spans="1:4">
      <c r="A16" s="532" t="s">
        <v>29</v>
      </c>
      <c r="B16" s="532" t="s">
        <v>30</v>
      </c>
    </row>
    <row r="17" spans="1:2">
      <c r="A17" s="532" t="s">
        <v>31</v>
      </c>
      <c r="B17" s="532" t="s">
        <v>32</v>
      </c>
    </row>
    <row r="18" spans="1:2">
      <c r="A18" s="532" t="s">
        <v>33</v>
      </c>
      <c r="B18" s="532" t="s">
        <v>34</v>
      </c>
    </row>
    <row r="19" spans="1:2">
      <c r="A19" s="532" t="s">
        <v>35</v>
      </c>
      <c r="B19" s="532" t="s">
        <v>36</v>
      </c>
    </row>
    <row r="20" spans="1:2">
      <c r="A20" s="532" t="s">
        <v>37</v>
      </c>
      <c r="B20" s="532" t="s">
        <v>38</v>
      </c>
    </row>
    <row r="21" spans="1:2">
      <c r="A21" s="532" t="s">
        <v>39</v>
      </c>
      <c r="B21" s="532" t="s">
        <v>40</v>
      </c>
    </row>
    <row r="22" spans="1:2">
      <c r="A22" s="532" t="s">
        <v>41</v>
      </c>
      <c r="B22" s="532" t="s">
        <v>42</v>
      </c>
    </row>
    <row r="23" spans="1:2">
      <c r="A23" s="532" t="s">
        <v>43</v>
      </c>
      <c r="B23" s="532" t="s">
        <v>44</v>
      </c>
    </row>
    <row r="24" spans="1:2">
      <c r="A24" s="532" t="s">
        <v>45</v>
      </c>
      <c r="B24" s="532" t="s">
        <v>46</v>
      </c>
    </row>
    <row r="25" spans="1:2">
      <c r="A25" s="532" t="s">
        <v>47</v>
      </c>
      <c r="B25" s="532" t="s">
        <v>48</v>
      </c>
    </row>
    <row r="26" spans="1:2">
      <c r="A26" s="532" t="s">
        <v>49</v>
      </c>
      <c r="B26" s="532" t="s">
        <v>50</v>
      </c>
    </row>
    <row r="27" spans="1:2">
      <c r="A27" s="532" t="s">
        <v>51</v>
      </c>
      <c r="B27" s="532" t="s">
        <v>52</v>
      </c>
    </row>
    <row r="28" spans="1:2">
      <c r="A28" s="532" t="s">
        <v>53</v>
      </c>
      <c r="B28" s="532" t="s">
        <v>54</v>
      </c>
    </row>
    <row r="29" spans="1:2">
      <c r="A29" s="532" t="s">
        <v>55</v>
      </c>
      <c r="B29" s="532" t="s">
        <v>56</v>
      </c>
    </row>
    <row r="30" spans="1:2">
      <c r="A30" s="532" t="s">
        <v>57</v>
      </c>
      <c r="B30" s="532" t="s">
        <v>58</v>
      </c>
    </row>
    <row r="31" spans="1:2">
      <c r="A31" s="532" t="s">
        <v>59</v>
      </c>
      <c r="B31" s="532" t="s">
        <v>60</v>
      </c>
    </row>
    <row r="32" spans="1:2">
      <c r="A32" s="532" t="s">
        <v>61</v>
      </c>
      <c r="B32" s="532" t="s">
        <v>62</v>
      </c>
    </row>
    <row r="33" spans="1:2">
      <c r="A33" s="532" t="s">
        <v>63</v>
      </c>
      <c r="B33" s="532" t="s">
        <v>64</v>
      </c>
    </row>
    <row r="34" spans="1:2">
      <c r="A34" s="532" t="s">
        <v>65</v>
      </c>
      <c r="B34" s="532" t="s">
        <v>66</v>
      </c>
    </row>
    <row r="35" spans="1:2">
      <c r="A35" s="532" t="s">
        <v>67</v>
      </c>
      <c r="B35" s="532" t="s">
        <v>68</v>
      </c>
    </row>
    <row r="36" spans="1:2">
      <c r="A36" s="532" t="s">
        <v>69</v>
      </c>
      <c r="B36" s="532" t="s">
        <v>70</v>
      </c>
    </row>
    <row r="37" spans="1:2">
      <c r="A37" s="532" t="s">
        <v>71</v>
      </c>
      <c r="B37" s="532" t="s">
        <v>72</v>
      </c>
    </row>
    <row r="38" spans="1:2">
      <c r="A38" s="532" t="s">
        <v>73</v>
      </c>
      <c r="B38" s="532" t="s">
        <v>74</v>
      </c>
    </row>
    <row r="39" spans="1:2">
      <c r="A39" s="532" t="s">
        <v>75</v>
      </c>
      <c r="B39" s="532" t="s">
        <v>76</v>
      </c>
    </row>
    <row r="40" spans="1:2">
      <c r="A40" s="532" t="s">
        <v>77</v>
      </c>
      <c r="B40" s="532" t="s">
        <v>78</v>
      </c>
    </row>
    <row r="41" spans="1:2">
      <c r="A41" s="532" t="s">
        <v>79</v>
      </c>
      <c r="B41" s="532" t="s">
        <v>80</v>
      </c>
    </row>
  </sheetData>
  <mergeCells count="1">
    <mergeCell ref="A1:D1"/>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D22"/>
  <sheetViews>
    <sheetView workbookViewId="0">
      <selection activeCell="B15" sqref="B15"/>
    </sheetView>
  </sheetViews>
  <sheetFormatPr defaultColWidth="8.75" defaultRowHeight="14.25"/>
  <cols>
    <col min="1" max="1" width="42.375" style="413" customWidth="1"/>
    <col min="2" max="2" width="17.75" style="413" customWidth="1"/>
    <col min="3" max="3" width="39.625" style="413" customWidth="1"/>
    <col min="4" max="4" width="17.625" style="413" customWidth="1"/>
    <col min="5" max="16384" width="8.75" style="413"/>
  </cols>
  <sheetData>
    <row r="1" spans="1:4">
      <c r="A1" s="560"/>
      <c r="B1" s="560"/>
      <c r="C1" s="560"/>
      <c r="D1" s="560"/>
    </row>
    <row r="2" spans="1:4" ht="25.5" customHeight="1">
      <c r="A2" s="561" t="s">
        <v>18</v>
      </c>
      <c r="B2" s="561"/>
      <c r="C2" s="561"/>
      <c r="D2" s="561"/>
    </row>
    <row r="3" spans="1:4" ht="22.5" customHeight="1">
      <c r="A3" s="414"/>
      <c r="B3" s="414"/>
      <c r="C3" s="414"/>
      <c r="D3" s="415" t="s">
        <v>210</v>
      </c>
    </row>
    <row r="4" spans="1:4" ht="18.75" customHeight="1">
      <c r="A4" s="562" t="s">
        <v>211</v>
      </c>
      <c r="B4" s="563"/>
      <c r="C4" s="562" t="s">
        <v>212</v>
      </c>
      <c r="D4" s="563"/>
    </row>
    <row r="5" spans="1:4" ht="18.75" customHeight="1">
      <c r="A5" s="416" t="s">
        <v>213</v>
      </c>
      <c r="B5" s="416" t="s">
        <v>214</v>
      </c>
      <c r="C5" s="416" t="s">
        <v>213</v>
      </c>
      <c r="D5" s="416" t="s">
        <v>215</v>
      </c>
    </row>
    <row r="6" spans="1:4" ht="20.25" customHeight="1">
      <c r="A6" s="417" t="s">
        <v>216</v>
      </c>
      <c r="B6" s="418">
        <f>+B7+B9</f>
        <v>2045</v>
      </c>
      <c r="C6" s="417" t="s">
        <v>217</v>
      </c>
      <c r="D6" s="418"/>
    </row>
    <row r="7" spans="1:4" ht="20.25" customHeight="1">
      <c r="A7" s="417" t="s">
        <v>218</v>
      </c>
      <c r="B7" s="419">
        <v>460</v>
      </c>
      <c r="C7" s="417" t="s">
        <v>219</v>
      </c>
      <c r="D7" s="418"/>
    </row>
    <row r="8" spans="1:4" ht="20.25" customHeight="1">
      <c r="A8" s="417" t="s">
        <v>220</v>
      </c>
      <c r="B8" s="419"/>
      <c r="C8" s="417" t="s">
        <v>221</v>
      </c>
      <c r="D8" s="418"/>
    </row>
    <row r="9" spans="1:4" ht="20.25" customHeight="1">
      <c r="A9" s="417" t="s">
        <v>222</v>
      </c>
      <c r="B9" s="419">
        <v>1585</v>
      </c>
      <c r="C9" s="417" t="s">
        <v>223</v>
      </c>
      <c r="D9" s="418"/>
    </row>
    <row r="10" spans="1:4" ht="20.25" customHeight="1">
      <c r="A10" s="417" t="s">
        <v>224</v>
      </c>
      <c r="B10" s="419"/>
      <c r="C10" s="417" t="s">
        <v>225</v>
      </c>
      <c r="D10" s="418"/>
    </row>
    <row r="11" spans="1:4" ht="20.25" customHeight="1">
      <c r="A11" s="417" t="s">
        <v>226</v>
      </c>
      <c r="B11" s="418"/>
      <c r="C11" s="417" t="s">
        <v>227</v>
      </c>
      <c r="D11" s="418"/>
    </row>
    <row r="12" spans="1:4" ht="20.25" customHeight="1">
      <c r="A12" s="417" t="s">
        <v>228</v>
      </c>
      <c r="B12" s="418"/>
      <c r="C12" s="417" t="s">
        <v>229</v>
      </c>
      <c r="D12" s="418"/>
    </row>
    <row r="13" spans="1:4" ht="20.25" customHeight="1">
      <c r="A13" s="420" t="s">
        <v>230</v>
      </c>
      <c r="B13" s="418"/>
      <c r="C13" s="417" t="s">
        <v>231</v>
      </c>
      <c r="D13" s="418"/>
    </row>
    <row r="14" spans="1:4" ht="20.25" customHeight="1">
      <c r="A14" s="417" t="s">
        <v>232</v>
      </c>
      <c r="B14" s="418"/>
      <c r="C14" s="417" t="s">
        <v>233</v>
      </c>
      <c r="D14" s="418"/>
    </row>
    <row r="15" spans="1:4" ht="18.75" customHeight="1">
      <c r="A15" s="417" t="s">
        <v>234</v>
      </c>
      <c r="B15" s="418"/>
      <c r="C15" s="417" t="s">
        <v>235</v>
      </c>
      <c r="D15" s="418"/>
    </row>
    <row r="16" spans="1:4" ht="20.25" customHeight="1">
      <c r="A16" s="417" t="s">
        <v>236</v>
      </c>
      <c r="B16" s="418"/>
      <c r="C16" s="417" t="s">
        <v>237</v>
      </c>
      <c r="D16" s="419">
        <v>1645</v>
      </c>
    </row>
    <row r="17" spans="1:4" ht="20.25" customHeight="1">
      <c r="A17" s="417" t="s">
        <v>234</v>
      </c>
      <c r="B17" s="418"/>
      <c r="C17" s="417" t="s">
        <v>238</v>
      </c>
      <c r="D17" s="419"/>
    </row>
    <row r="18" spans="1:4" ht="20.25" customHeight="1">
      <c r="A18" s="417" t="s">
        <v>239</v>
      </c>
      <c r="B18" s="418">
        <v>11</v>
      </c>
      <c r="C18" s="417" t="s">
        <v>240</v>
      </c>
      <c r="D18" s="419">
        <v>411</v>
      </c>
    </row>
    <row r="19" spans="1:4" ht="20.25" customHeight="1">
      <c r="A19" s="417" t="s">
        <v>234</v>
      </c>
      <c r="B19" s="418"/>
      <c r="C19" s="417"/>
      <c r="D19" s="421"/>
    </row>
    <row r="20" spans="1:4" ht="18" customHeight="1">
      <c r="A20" s="416" t="s">
        <v>241</v>
      </c>
      <c r="B20" s="422">
        <f>B6+B14+B10+B16+B18</f>
        <v>2056</v>
      </c>
      <c r="C20" s="423" t="s">
        <v>242</v>
      </c>
      <c r="D20" s="424">
        <f>+D18+D16</f>
        <v>2056</v>
      </c>
    </row>
    <row r="21" spans="1:4" ht="20.25" customHeight="1">
      <c r="A21" s="416" t="s">
        <v>243</v>
      </c>
      <c r="B21" s="418"/>
      <c r="C21" s="416" t="s">
        <v>244</v>
      </c>
      <c r="D21" s="425"/>
    </row>
    <row r="22" spans="1:4" ht="20.25" customHeight="1">
      <c r="A22" s="426" t="s">
        <v>245</v>
      </c>
      <c r="B22" s="418">
        <f>+B20</f>
        <v>2056</v>
      </c>
      <c r="C22" s="426" t="s">
        <v>246</v>
      </c>
      <c r="D22" s="418">
        <f>+D20</f>
        <v>2056</v>
      </c>
    </row>
  </sheetData>
  <mergeCells count="4">
    <mergeCell ref="A1:D1"/>
    <mergeCell ref="A2:D2"/>
    <mergeCell ref="A4:B4"/>
    <mergeCell ref="C4:D4"/>
  </mergeCells>
  <phoneticPr fontId="2" type="noConversion"/>
  <printOptions horizontalCentered="1"/>
  <pageMargins left="0.75138888888888899" right="0.75138888888888899" top="0.97916666666666696" bottom="0.97916666666666696" header="0.50763888888888897" footer="0.79027777777777797"/>
  <pageSetup paperSize="9" firstPageNumber="9" orientation="landscape" useFirstPageNumber="1"/>
  <headerFooter alignWithMargins="0">
    <oddFooter>&amp;C第 &amp;P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H27"/>
  <sheetViews>
    <sheetView workbookViewId="0">
      <selection activeCell="E38" sqref="E38"/>
    </sheetView>
  </sheetViews>
  <sheetFormatPr defaultColWidth="8" defaultRowHeight="14.25" customHeight="1"/>
  <cols>
    <col min="1" max="1" width="29" style="83" customWidth="1"/>
    <col min="2" max="2" width="12.125" style="83" customWidth="1"/>
    <col min="3" max="4" width="13.375" style="83" customWidth="1"/>
    <col min="5" max="5" width="11.375" style="83" customWidth="1"/>
    <col min="6" max="6" width="13.375" style="83" customWidth="1"/>
    <col min="7" max="7" width="12.25" style="83" customWidth="1"/>
    <col min="8" max="8" width="10.75" style="83" customWidth="1"/>
    <col min="9" max="16384" width="8" style="83"/>
  </cols>
  <sheetData>
    <row r="1" spans="1:8" ht="4.5" customHeight="1">
      <c r="A1" s="389"/>
      <c r="B1" s="154"/>
      <c r="C1" s="154"/>
      <c r="D1" s="154"/>
      <c r="E1" s="154"/>
      <c r="F1" s="154"/>
      <c r="G1" s="154"/>
      <c r="H1" s="154"/>
    </row>
    <row r="2" spans="1:8" ht="46.5" customHeight="1">
      <c r="A2" s="564" t="s">
        <v>20</v>
      </c>
      <c r="B2" s="564"/>
      <c r="C2" s="564"/>
      <c r="D2" s="564"/>
      <c r="E2" s="564"/>
      <c r="F2" s="564"/>
      <c r="G2" s="564"/>
      <c r="H2" s="564"/>
    </row>
    <row r="3" spans="1:8" ht="14.25" customHeight="1">
      <c r="A3" s="390"/>
      <c r="B3" s="390"/>
      <c r="C3" s="390"/>
      <c r="D3" s="390"/>
      <c r="E3" s="390"/>
      <c r="F3" s="390"/>
      <c r="G3" s="390"/>
      <c r="H3" s="390"/>
    </row>
    <row r="4" spans="1:8" ht="12" customHeight="1">
      <c r="A4" s="391"/>
      <c r="B4" s="392"/>
      <c r="C4" s="392"/>
      <c r="D4" s="392"/>
      <c r="E4" s="392"/>
      <c r="F4" s="392"/>
      <c r="G4" s="392"/>
      <c r="H4" s="393" t="s">
        <v>210</v>
      </c>
    </row>
    <row r="5" spans="1:8" ht="36.75" customHeight="1">
      <c r="A5" s="394" t="s">
        <v>247</v>
      </c>
      <c r="B5" s="395" t="s">
        <v>88</v>
      </c>
      <c r="C5" s="396" t="s">
        <v>248</v>
      </c>
      <c r="D5" s="396" t="s">
        <v>249</v>
      </c>
      <c r="E5" s="395" t="s">
        <v>250</v>
      </c>
      <c r="F5" s="395" t="s">
        <v>251</v>
      </c>
      <c r="G5" s="395" t="s">
        <v>252</v>
      </c>
      <c r="H5" s="395" t="s">
        <v>253</v>
      </c>
    </row>
    <row r="6" spans="1:8" ht="18.75" customHeight="1">
      <c r="A6" s="397" t="s">
        <v>254</v>
      </c>
      <c r="B6" s="398">
        <f t="shared" ref="B6" si="0">C6+D6+E6+F6+G6+H6</f>
        <v>111467</v>
      </c>
      <c r="C6" s="399">
        <v>3439</v>
      </c>
      <c r="D6" s="400">
        <v>9584</v>
      </c>
      <c r="E6" s="401">
        <v>4616</v>
      </c>
      <c r="F6" s="402">
        <v>73290</v>
      </c>
      <c r="G6" s="401">
        <v>18009</v>
      </c>
      <c r="H6" s="398">
        <v>2529</v>
      </c>
    </row>
    <row r="7" spans="1:8" ht="18.75" customHeight="1">
      <c r="A7" s="397" t="s">
        <v>255</v>
      </c>
      <c r="B7" s="398">
        <f t="shared" ref="B7:E7" si="1">SUM(B8:B14)</f>
        <v>261984</v>
      </c>
      <c r="C7" s="58">
        <f t="shared" si="1"/>
        <v>150334</v>
      </c>
      <c r="D7" s="58">
        <f t="shared" si="1"/>
        <v>49915</v>
      </c>
      <c r="E7" s="58">
        <f t="shared" si="1"/>
        <v>1605</v>
      </c>
      <c r="F7" s="403">
        <v>51099</v>
      </c>
      <c r="G7" s="58">
        <f>SUM(G8:G14)</f>
        <v>7013</v>
      </c>
      <c r="H7" s="58">
        <f>SUM(H8:H14)</f>
        <v>2018</v>
      </c>
    </row>
    <row r="8" spans="1:8" ht="18.75" customHeight="1">
      <c r="A8" s="404" t="s">
        <v>256</v>
      </c>
      <c r="B8" s="398">
        <f t="shared" ref="B8" si="2">C8+D8+E8+F8+G8+H8</f>
        <v>157679</v>
      </c>
      <c r="C8" s="58">
        <v>77724</v>
      </c>
      <c r="D8" s="405">
        <v>34293</v>
      </c>
      <c r="E8" s="406">
        <v>1386</v>
      </c>
      <c r="F8" s="407">
        <v>37042</v>
      </c>
      <c r="G8" s="408">
        <v>5267</v>
      </c>
      <c r="H8" s="58">
        <v>1967</v>
      </c>
    </row>
    <row r="9" spans="1:8" ht="18.75" customHeight="1">
      <c r="A9" s="404" t="s">
        <v>257</v>
      </c>
      <c r="B9" s="398">
        <f t="shared" ref="B9:B14" si="3">C9+D9+E9+F9+G9+H9</f>
        <v>2482</v>
      </c>
      <c r="C9" s="58">
        <v>320</v>
      </c>
      <c r="D9" s="405">
        <v>107</v>
      </c>
      <c r="E9" s="406">
        <v>63</v>
      </c>
      <c r="F9" s="407">
        <v>1595</v>
      </c>
      <c r="G9" s="408">
        <v>346</v>
      </c>
      <c r="H9" s="58">
        <v>51</v>
      </c>
    </row>
    <row r="10" spans="1:8" ht="18.75" customHeight="1">
      <c r="A10" s="61" t="s">
        <v>258</v>
      </c>
      <c r="B10" s="398">
        <f t="shared" si="3"/>
        <v>70381</v>
      </c>
      <c r="C10" s="58">
        <v>54922</v>
      </c>
      <c r="D10" s="405">
        <v>15345</v>
      </c>
      <c r="E10" s="406"/>
      <c r="F10" s="407"/>
      <c r="G10" s="408">
        <v>114</v>
      </c>
      <c r="H10" s="58"/>
    </row>
    <row r="11" spans="1:8" ht="18.75" customHeight="1">
      <c r="A11" s="61" t="s">
        <v>259</v>
      </c>
      <c r="B11" s="398">
        <f t="shared" si="3"/>
        <v>12907</v>
      </c>
      <c r="C11" s="58">
        <v>443</v>
      </c>
      <c r="D11" s="405"/>
      <c r="E11" s="406">
        <v>2</v>
      </c>
      <c r="F11" s="407">
        <v>12462</v>
      </c>
      <c r="G11" s="408"/>
      <c r="H11" s="58"/>
    </row>
    <row r="12" spans="1:8" ht="18.75" customHeight="1">
      <c r="A12" s="61" t="s">
        <v>260</v>
      </c>
      <c r="B12" s="398">
        <f t="shared" si="3"/>
        <v>170</v>
      </c>
      <c r="C12" s="58"/>
      <c r="D12" s="405">
        <v>170</v>
      </c>
      <c r="E12" s="406"/>
      <c r="F12" s="407"/>
      <c r="G12" s="408"/>
      <c r="H12" s="58"/>
    </row>
    <row r="13" spans="1:8" ht="18.75" customHeight="1">
      <c r="A13" s="61" t="s">
        <v>261</v>
      </c>
      <c r="B13" s="398">
        <f t="shared" si="3"/>
        <v>17004</v>
      </c>
      <c r="C13" s="58">
        <v>16925</v>
      </c>
      <c r="D13" s="405"/>
      <c r="E13" s="406"/>
      <c r="F13" s="407"/>
      <c r="G13" s="408">
        <v>79</v>
      </c>
      <c r="H13" s="58"/>
    </row>
    <row r="14" spans="1:8" ht="18.75" customHeight="1">
      <c r="A14" s="61" t="s">
        <v>262</v>
      </c>
      <c r="B14" s="398">
        <f t="shared" si="3"/>
        <v>1361</v>
      </c>
      <c r="C14" s="58"/>
      <c r="D14" s="405"/>
      <c r="E14" s="406">
        <v>154</v>
      </c>
      <c r="F14" s="407"/>
      <c r="G14" s="408">
        <v>1207</v>
      </c>
      <c r="H14" s="58"/>
    </row>
    <row r="15" spans="1:8" ht="18.75" customHeight="1">
      <c r="A15" s="404" t="s">
        <v>263</v>
      </c>
      <c r="B15" s="398">
        <f t="shared" ref="B15:E15" si="4">SUM(B16:B20)</f>
        <v>245671</v>
      </c>
      <c r="C15" s="58">
        <f t="shared" si="4"/>
        <v>146685</v>
      </c>
      <c r="D15" s="58">
        <f t="shared" si="4"/>
        <v>45029</v>
      </c>
      <c r="E15" s="58">
        <f t="shared" si="4"/>
        <v>1688</v>
      </c>
      <c r="F15" s="403">
        <v>43404</v>
      </c>
      <c r="G15" s="58">
        <f>SUM(G16:G20)</f>
        <v>6070</v>
      </c>
      <c r="H15" s="58">
        <f>SUM(H16:H20)</f>
        <v>2795</v>
      </c>
    </row>
    <row r="16" spans="1:8" ht="18.75" customHeight="1">
      <c r="A16" s="404" t="s">
        <v>264</v>
      </c>
      <c r="B16" s="398">
        <f t="shared" ref="B16" si="5">C16+D16+E16+F16+G16+H16</f>
        <v>236462</v>
      </c>
      <c r="C16" s="58">
        <v>146685</v>
      </c>
      <c r="D16" s="409">
        <v>45029</v>
      </c>
      <c r="E16" s="410">
        <v>1368</v>
      </c>
      <c r="F16" s="407">
        <v>36415</v>
      </c>
      <c r="G16" s="411">
        <v>4170</v>
      </c>
      <c r="H16" s="58">
        <v>2795</v>
      </c>
    </row>
    <row r="17" spans="1:8" ht="18.75" customHeight="1">
      <c r="A17" s="404" t="s">
        <v>265</v>
      </c>
      <c r="B17" s="398">
        <f t="shared" ref="B17:B22" si="6">C17+D17+E17+F17+G17+H17</f>
        <v>7489</v>
      </c>
      <c r="C17" s="58"/>
      <c r="D17" s="409"/>
      <c r="E17" s="410">
        <v>89</v>
      </c>
      <c r="F17" s="407">
        <v>6820</v>
      </c>
      <c r="G17" s="411">
        <v>580</v>
      </c>
      <c r="H17" s="58"/>
    </row>
    <row r="18" spans="1:8" ht="18.75" customHeight="1">
      <c r="A18" s="61" t="s">
        <v>266</v>
      </c>
      <c r="B18" s="398">
        <f t="shared" si="6"/>
        <v>169</v>
      </c>
      <c r="C18" s="58"/>
      <c r="D18" s="409"/>
      <c r="E18" s="410"/>
      <c r="F18" s="407">
        <v>169</v>
      </c>
      <c r="G18" s="411"/>
      <c r="H18" s="58"/>
    </row>
    <row r="19" spans="1:8" ht="18.75" customHeight="1">
      <c r="A19" s="412" t="s">
        <v>267</v>
      </c>
      <c r="B19" s="398">
        <f t="shared" si="6"/>
        <v>915</v>
      </c>
      <c r="C19" s="58"/>
      <c r="D19" s="409"/>
      <c r="E19" s="410"/>
      <c r="F19" s="407"/>
      <c r="G19" s="411">
        <v>915</v>
      </c>
      <c r="H19" s="58"/>
    </row>
    <row r="20" spans="1:8" ht="18.75" customHeight="1">
      <c r="A20" s="412" t="s">
        <v>268</v>
      </c>
      <c r="B20" s="398">
        <f t="shared" si="6"/>
        <v>636</v>
      </c>
      <c r="C20" s="58"/>
      <c r="D20" s="409"/>
      <c r="E20" s="410">
        <v>231</v>
      </c>
      <c r="F20" s="407"/>
      <c r="G20" s="411">
        <v>405</v>
      </c>
      <c r="H20" s="58"/>
    </row>
    <row r="21" spans="1:8" ht="18.75" customHeight="1">
      <c r="A21" s="397" t="s">
        <v>269</v>
      </c>
      <c r="B21" s="398">
        <f t="shared" si="6"/>
        <v>16313</v>
      </c>
      <c r="C21" s="58">
        <f t="shared" ref="C21:E21" si="7">C7-C15</f>
        <v>3649</v>
      </c>
      <c r="D21" s="58">
        <f t="shared" si="7"/>
        <v>4886</v>
      </c>
      <c r="E21" s="58">
        <f t="shared" si="7"/>
        <v>-83</v>
      </c>
      <c r="F21" s="403">
        <v>7695</v>
      </c>
      <c r="G21" s="58">
        <f>G7-G15</f>
        <v>943</v>
      </c>
      <c r="H21" s="58">
        <f>H7-H15</f>
        <v>-777</v>
      </c>
    </row>
    <row r="22" spans="1:8" ht="18.75" customHeight="1">
      <c r="A22" s="404" t="s">
        <v>270</v>
      </c>
      <c r="B22" s="398">
        <f t="shared" si="6"/>
        <v>127780</v>
      </c>
      <c r="C22" s="58">
        <f t="shared" ref="C22:E22" si="8">C6+C21</f>
        <v>7088</v>
      </c>
      <c r="D22" s="58">
        <f t="shared" si="8"/>
        <v>14470</v>
      </c>
      <c r="E22" s="58">
        <f t="shared" si="8"/>
        <v>4533</v>
      </c>
      <c r="F22" s="403">
        <v>80985</v>
      </c>
      <c r="G22" s="58">
        <f>G6+G21</f>
        <v>18952</v>
      </c>
      <c r="H22" s="58">
        <f>H6+H21</f>
        <v>1752</v>
      </c>
    </row>
    <row r="23" spans="1:8" ht="27.75" customHeight="1">
      <c r="A23" s="154"/>
      <c r="B23" s="155"/>
      <c r="C23" s="155"/>
      <c r="D23" s="155"/>
      <c r="E23" s="155"/>
      <c r="F23" s="155"/>
      <c r="G23" s="155"/>
      <c r="H23" s="155"/>
    </row>
    <row r="24" spans="1:8" ht="14.25" hidden="1" customHeight="1">
      <c r="B24" s="83">
        <f>250595/0.947</f>
        <v>264619.85216473072</v>
      </c>
      <c r="C24" s="83">
        <f>248737/0.938</f>
        <v>265178.03837953095</v>
      </c>
    </row>
    <row r="25" spans="1:8" ht="14.25" hidden="1" customHeight="1">
      <c r="B25" s="83">
        <f>+B7/B24</f>
        <v>0.99003909894451214</v>
      </c>
      <c r="C25" s="83">
        <f>+B15/C24</f>
        <v>0.9264379565565235</v>
      </c>
    </row>
    <row r="26" spans="1:8" ht="14.25" hidden="1" customHeight="1"/>
    <row r="27" spans="1:8" ht="14.25" hidden="1" customHeight="1"/>
  </sheetData>
  <mergeCells count="1">
    <mergeCell ref="A2:H2"/>
  </mergeCells>
  <phoneticPr fontId="2" type="noConversion"/>
  <pageMargins left="0.75" right="0.75" top="1" bottom="1" header="0.5" footer="0.5"/>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XEV43"/>
  <sheetViews>
    <sheetView showGridLines="0" showZeros="0" workbookViewId="0">
      <pane xSplit="1" ySplit="3" topLeftCell="B4" activePane="bottomRight" state="frozen"/>
      <selection pane="topRight"/>
      <selection pane="bottomLeft"/>
      <selection pane="bottomRight" activeCell="N26" sqref="N26"/>
    </sheetView>
  </sheetViews>
  <sheetFormatPr defaultColWidth="9.25" defaultRowHeight="15.75"/>
  <cols>
    <col min="1" max="1" width="30.75" style="328" customWidth="1"/>
    <col min="2" max="2" width="14.125" style="328" customWidth="1"/>
    <col min="3" max="3" width="17.25" style="328" customWidth="1"/>
    <col min="4" max="4" width="14.125" style="328" customWidth="1"/>
    <col min="5" max="6" width="12.625" style="328" hidden="1" customWidth="1"/>
    <col min="7" max="8" width="9.25" style="328" hidden="1" customWidth="1"/>
    <col min="9" max="9" width="9.25" style="328" customWidth="1"/>
    <col min="10" max="16376" width="9.25" style="328"/>
  </cols>
  <sheetData>
    <row r="1" spans="1:248" s="327" customFormat="1" ht="45" customHeight="1">
      <c r="A1" s="565" t="s">
        <v>22</v>
      </c>
      <c r="B1" s="565"/>
      <c r="C1" s="565"/>
      <c r="D1" s="565"/>
    </row>
    <row r="2" spans="1:248" customFormat="1" ht="24" customHeight="1">
      <c r="A2" s="328"/>
      <c r="B2" s="328"/>
      <c r="C2" s="328"/>
      <c r="D2" s="383" t="s">
        <v>210</v>
      </c>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CE2" s="328"/>
      <c r="CF2" s="328"/>
      <c r="CG2" s="328"/>
      <c r="CH2" s="328"/>
      <c r="CI2" s="328"/>
      <c r="CJ2" s="328"/>
      <c r="CK2" s="328"/>
      <c r="CL2" s="328"/>
      <c r="CM2" s="328"/>
      <c r="CN2" s="328"/>
      <c r="CO2" s="328"/>
      <c r="CP2" s="328"/>
      <c r="CQ2" s="328"/>
      <c r="CR2" s="328"/>
      <c r="CS2" s="328"/>
      <c r="CT2" s="328"/>
      <c r="CU2" s="328"/>
      <c r="CV2" s="328"/>
      <c r="CW2" s="328"/>
      <c r="CX2" s="328"/>
      <c r="CY2" s="328"/>
      <c r="CZ2" s="328"/>
      <c r="DA2" s="328"/>
      <c r="DB2" s="328"/>
      <c r="DC2" s="328"/>
      <c r="DD2" s="328"/>
      <c r="DE2" s="328"/>
      <c r="DF2" s="328"/>
      <c r="DG2" s="328"/>
      <c r="DH2" s="328"/>
      <c r="DI2" s="328"/>
      <c r="DJ2" s="328"/>
      <c r="DK2" s="328"/>
      <c r="DL2" s="328"/>
      <c r="DM2" s="328"/>
      <c r="DN2" s="328"/>
      <c r="DO2" s="328"/>
      <c r="DP2" s="328"/>
      <c r="DQ2" s="328"/>
      <c r="DR2" s="328"/>
      <c r="DS2" s="328"/>
      <c r="DT2" s="328"/>
      <c r="DU2" s="328"/>
      <c r="DV2" s="328"/>
      <c r="DW2" s="328"/>
      <c r="DX2" s="328"/>
      <c r="DY2" s="328"/>
      <c r="DZ2" s="328"/>
      <c r="EA2" s="328"/>
      <c r="EB2" s="328"/>
      <c r="EC2" s="328"/>
      <c r="ED2" s="328"/>
      <c r="EE2" s="328"/>
      <c r="EF2" s="328"/>
      <c r="EG2" s="328"/>
      <c r="EH2" s="328"/>
      <c r="EI2" s="328"/>
      <c r="EJ2" s="328"/>
      <c r="EK2" s="328"/>
      <c r="EL2" s="328"/>
      <c r="EM2" s="328"/>
      <c r="EN2" s="328"/>
      <c r="EO2" s="328"/>
      <c r="EP2" s="328"/>
      <c r="EQ2" s="328"/>
      <c r="ER2" s="328"/>
      <c r="ES2" s="328"/>
      <c r="ET2" s="328"/>
      <c r="EU2" s="328"/>
      <c r="EV2" s="328"/>
      <c r="EW2" s="328"/>
      <c r="EX2" s="328"/>
      <c r="EY2" s="328"/>
      <c r="EZ2" s="328"/>
      <c r="FA2" s="328"/>
      <c r="FB2" s="328"/>
      <c r="FC2" s="328"/>
      <c r="FD2" s="328"/>
      <c r="FE2" s="328"/>
      <c r="FF2" s="328"/>
      <c r="FG2" s="328"/>
      <c r="FH2" s="328"/>
      <c r="FI2" s="328"/>
      <c r="FJ2" s="328"/>
      <c r="FK2" s="328"/>
      <c r="FL2" s="328"/>
      <c r="FM2" s="328"/>
      <c r="FN2" s="328"/>
      <c r="FO2" s="328"/>
      <c r="FP2" s="328"/>
      <c r="FQ2" s="328"/>
      <c r="FR2" s="328"/>
      <c r="FS2" s="328"/>
      <c r="FT2" s="328"/>
      <c r="FU2" s="328"/>
      <c r="FV2" s="328"/>
      <c r="FW2" s="328"/>
      <c r="FX2" s="328"/>
      <c r="FY2" s="328"/>
      <c r="FZ2" s="328"/>
      <c r="GA2" s="328"/>
      <c r="GB2" s="328"/>
      <c r="GC2" s="328"/>
      <c r="GD2" s="328"/>
      <c r="GE2" s="328"/>
      <c r="GF2" s="328"/>
      <c r="GG2" s="328"/>
      <c r="GH2" s="328"/>
      <c r="GI2" s="328"/>
      <c r="GJ2" s="328"/>
      <c r="GK2" s="328"/>
      <c r="GL2" s="328"/>
      <c r="GM2" s="328"/>
      <c r="GN2" s="328"/>
      <c r="GO2" s="328"/>
      <c r="GP2" s="328"/>
      <c r="GQ2" s="328"/>
      <c r="GR2" s="328"/>
      <c r="GS2" s="328"/>
      <c r="GT2" s="328"/>
      <c r="GU2" s="328"/>
      <c r="GV2" s="328"/>
      <c r="GW2" s="328"/>
      <c r="GX2" s="328"/>
      <c r="GY2" s="328"/>
      <c r="GZ2" s="328"/>
      <c r="HA2" s="328"/>
      <c r="HB2" s="328"/>
      <c r="HC2" s="328"/>
      <c r="HD2" s="328"/>
      <c r="HE2" s="328"/>
      <c r="HF2" s="328"/>
      <c r="HG2" s="328"/>
      <c r="HH2" s="328"/>
      <c r="HI2" s="328"/>
      <c r="HJ2" s="328"/>
      <c r="HK2" s="328"/>
      <c r="HL2" s="328"/>
      <c r="HM2" s="328"/>
      <c r="HN2" s="328"/>
      <c r="HO2" s="328"/>
      <c r="HP2" s="328"/>
      <c r="HQ2" s="328"/>
      <c r="HR2" s="328"/>
      <c r="HS2" s="328"/>
      <c r="HT2" s="328"/>
      <c r="HU2" s="328"/>
      <c r="HV2" s="328"/>
      <c r="HW2" s="328"/>
      <c r="HX2" s="328"/>
      <c r="HY2" s="328"/>
      <c r="HZ2" s="328"/>
      <c r="IA2" s="328"/>
      <c r="IB2" s="328"/>
      <c r="IC2" s="328"/>
      <c r="ID2" s="328"/>
      <c r="IE2" s="328"/>
      <c r="IF2" s="328"/>
      <c r="IG2" s="328"/>
      <c r="IH2" s="328"/>
      <c r="II2" s="328"/>
      <c r="IJ2" s="328"/>
      <c r="IK2" s="328"/>
      <c r="IL2" s="328"/>
      <c r="IM2" s="328"/>
      <c r="IN2" s="328"/>
    </row>
    <row r="3" spans="1:248" customFormat="1" ht="23.25" customHeight="1">
      <c r="A3" s="384" t="s">
        <v>271</v>
      </c>
      <c r="B3" s="384" t="s">
        <v>272</v>
      </c>
      <c r="C3" s="384" t="s">
        <v>273</v>
      </c>
      <c r="D3" s="384" t="s">
        <v>274</v>
      </c>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28"/>
      <c r="CK3" s="328"/>
      <c r="CL3" s="328"/>
      <c r="CM3" s="328"/>
      <c r="CN3" s="328"/>
      <c r="CO3" s="328"/>
      <c r="CP3" s="328"/>
      <c r="CQ3" s="328"/>
      <c r="CR3" s="328"/>
      <c r="CS3" s="328"/>
      <c r="CT3" s="328"/>
      <c r="CU3" s="328"/>
      <c r="CV3" s="328"/>
      <c r="CW3" s="328"/>
      <c r="CX3" s="328"/>
      <c r="CY3" s="328"/>
      <c r="CZ3" s="328"/>
      <c r="DA3" s="328"/>
      <c r="DB3" s="328"/>
      <c r="DC3" s="328"/>
      <c r="DD3" s="328"/>
      <c r="DE3" s="328"/>
      <c r="DF3" s="328"/>
      <c r="DG3" s="328"/>
      <c r="DH3" s="328"/>
      <c r="DI3" s="328"/>
      <c r="DJ3" s="328"/>
      <c r="DK3" s="328"/>
      <c r="DL3" s="328"/>
      <c r="DM3" s="328"/>
      <c r="DN3" s="328"/>
      <c r="DO3" s="328"/>
      <c r="DP3" s="328"/>
      <c r="DQ3" s="328"/>
      <c r="DR3" s="328"/>
      <c r="DS3" s="328"/>
      <c r="DT3" s="328"/>
      <c r="DU3" s="328"/>
      <c r="DV3" s="328"/>
      <c r="DW3" s="328"/>
      <c r="DX3" s="328"/>
      <c r="DY3" s="328"/>
      <c r="DZ3" s="328"/>
      <c r="EA3" s="328"/>
      <c r="EB3" s="328"/>
      <c r="EC3" s="328"/>
      <c r="ED3" s="328"/>
      <c r="EE3" s="328"/>
      <c r="EF3" s="328"/>
      <c r="EG3" s="328"/>
      <c r="EH3" s="328"/>
      <c r="EI3" s="328"/>
      <c r="EJ3" s="328"/>
      <c r="EK3" s="328"/>
      <c r="EL3" s="328"/>
      <c r="EM3" s="328"/>
      <c r="EN3" s="328"/>
      <c r="EO3" s="328"/>
      <c r="EP3" s="328"/>
      <c r="EQ3" s="328"/>
      <c r="ER3" s="328"/>
      <c r="ES3" s="328"/>
      <c r="ET3" s="328"/>
      <c r="EU3" s="328"/>
      <c r="EV3" s="328"/>
      <c r="EW3" s="328"/>
      <c r="EX3" s="328"/>
      <c r="EY3" s="328"/>
      <c r="EZ3" s="328"/>
      <c r="FA3" s="328"/>
      <c r="FB3" s="328"/>
      <c r="FC3" s="328"/>
      <c r="FD3" s="328"/>
      <c r="FE3" s="328"/>
      <c r="FF3" s="328"/>
      <c r="FG3" s="328"/>
      <c r="FH3" s="328"/>
      <c r="FI3" s="328"/>
      <c r="FJ3" s="328"/>
      <c r="FK3" s="328"/>
      <c r="FL3" s="328"/>
      <c r="FM3" s="328"/>
      <c r="FN3" s="328"/>
      <c r="FO3" s="328"/>
      <c r="FP3" s="328"/>
      <c r="FQ3" s="328"/>
      <c r="FR3" s="328"/>
      <c r="FS3" s="328"/>
      <c r="FT3" s="328"/>
      <c r="FU3" s="328"/>
      <c r="FV3" s="328"/>
      <c r="FW3" s="328"/>
      <c r="FX3" s="328"/>
      <c r="FY3" s="328"/>
      <c r="FZ3" s="328"/>
      <c r="GA3" s="328"/>
      <c r="GB3" s="328"/>
      <c r="GC3" s="328"/>
      <c r="GD3" s="328"/>
      <c r="GE3" s="328"/>
      <c r="GF3" s="328"/>
      <c r="GG3" s="328"/>
      <c r="GH3" s="328"/>
      <c r="GI3" s="328"/>
      <c r="GJ3" s="328"/>
      <c r="GK3" s="328"/>
      <c r="GL3" s="328"/>
      <c r="GM3" s="328"/>
      <c r="GN3" s="328"/>
      <c r="GO3" s="328"/>
      <c r="GP3" s="328"/>
      <c r="GQ3" s="328"/>
      <c r="GR3" s="328"/>
      <c r="GS3" s="328"/>
      <c r="GT3" s="328"/>
      <c r="GU3" s="328"/>
      <c r="GV3" s="328"/>
      <c r="GW3" s="328"/>
      <c r="GX3" s="328"/>
      <c r="GY3" s="328"/>
      <c r="GZ3" s="328"/>
      <c r="HA3" s="328"/>
      <c r="HB3" s="328"/>
      <c r="HC3" s="328"/>
      <c r="HD3" s="328"/>
      <c r="HE3" s="328"/>
      <c r="HF3" s="328"/>
      <c r="HG3" s="328"/>
      <c r="HH3" s="328"/>
      <c r="HI3" s="328"/>
      <c r="HJ3" s="328"/>
      <c r="HK3" s="328"/>
      <c r="HL3" s="328"/>
      <c r="HM3" s="328"/>
      <c r="HN3" s="328"/>
      <c r="HO3" s="328"/>
      <c r="HP3" s="328"/>
      <c r="HQ3" s="328"/>
      <c r="HR3" s="328"/>
      <c r="HS3" s="328"/>
      <c r="HT3" s="328"/>
      <c r="HU3" s="328"/>
      <c r="HV3" s="328"/>
      <c r="HW3" s="328"/>
      <c r="HX3" s="328"/>
      <c r="HY3" s="328"/>
      <c r="HZ3" s="328"/>
      <c r="IA3" s="328"/>
      <c r="IB3" s="328"/>
      <c r="IC3" s="328"/>
      <c r="ID3" s="328"/>
      <c r="IE3" s="328"/>
      <c r="IF3" s="328"/>
      <c r="IG3" s="328"/>
      <c r="IH3" s="328"/>
      <c r="II3" s="328"/>
      <c r="IJ3" s="328"/>
      <c r="IK3" s="328"/>
      <c r="IL3" s="328"/>
      <c r="IM3" s="328"/>
      <c r="IN3" s="328"/>
    </row>
    <row r="4" spans="1:248" customFormat="1" ht="14.45" customHeight="1">
      <c r="A4" s="346" t="s">
        <v>92</v>
      </c>
      <c r="B4" s="338">
        <f>SUM(B5:B19)</f>
        <v>484913</v>
      </c>
      <c r="C4" s="339">
        <f>SUM(C5:C19)</f>
        <v>557695</v>
      </c>
      <c r="D4" s="340">
        <f t="shared" ref="D4:D5" si="0">(C4-B4)/B4*100</f>
        <v>15.009290326305955</v>
      </c>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c r="CA4" s="328"/>
      <c r="CB4" s="328"/>
      <c r="CC4" s="328"/>
      <c r="CD4" s="328"/>
      <c r="CE4" s="328"/>
      <c r="CF4" s="328"/>
      <c r="CG4" s="328"/>
      <c r="CH4" s="328"/>
      <c r="CI4" s="328"/>
      <c r="CJ4" s="328"/>
      <c r="CK4" s="328"/>
      <c r="CL4" s="328"/>
      <c r="CM4" s="328"/>
      <c r="CN4" s="328"/>
      <c r="CO4" s="328"/>
      <c r="CP4" s="328"/>
      <c r="CQ4" s="328"/>
      <c r="CR4" s="328"/>
      <c r="CS4" s="328"/>
      <c r="CT4" s="328"/>
      <c r="CU4" s="328"/>
      <c r="CV4" s="328"/>
      <c r="CW4" s="328"/>
      <c r="CX4" s="328"/>
      <c r="CY4" s="328"/>
      <c r="CZ4" s="328"/>
      <c r="DA4" s="328"/>
      <c r="DB4" s="328"/>
      <c r="DC4" s="328"/>
      <c r="DD4" s="328"/>
      <c r="DE4" s="328"/>
      <c r="DF4" s="328"/>
      <c r="DG4" s="328"/>
      <c r="DH4" s="328"/>
      <c r="DI4" s="328"/>
      <c r="DJ4" s="328"/>
      <c r="DK4" s="328"/>
      <c r="DL4" s="328"/>
      <c r="DM4" s="328"/>
      <c r="DN4" s="328"/>
      <c r="DO4" s="328"/>
      <c r="DP4" s="328"/>
      <c r="DQ4" s="328"/>
      <c r="DR4" s="328"/>
      <c r="DS4" s="328"/>
      <c r="DT4" s="328"/>
      <c r="DU4" s="328"/>
      <c r="DV4" s="328"/>
      <c r="DW4" s="328"/>
      <c r="DX4" s="328"/>
      <c r="DY4" s="328"/>
      <c r="DZ4" s="328"/>
      <c r="EA4" s="328"/>
      <c r="EB4" s="328"/>
      <c r="EC4" s="328"/>
      <c r="ED4" s="328"/>
      <c r="EE4" s="328"/>
      <c r="EF4" s="328"/>
      <c r="EG4" s="328"/>
      <c r="EH4" s="328"/>
      <c r="EI4" s="328"/>
      <c r="EJ4" s="328"/>
      <c r="EK4" s="328"/>
      <c r="EL4" s="328"/>
      <c r="EM4" s="328"/>
      <c r="EN4" s="328"/>
      <c r="EO4" s="328"/>
      <c r="EP4" s="328"/>
      <c r="EQ4" s="328"/>
      <c r="ER4" s="328"/>
      <c r="ES4" s="328"/>
      <c r="ET4" s="328"/>
      <c r="EU4" s="328"/>
      <c r="EV4" s="328"/>
      <c r="EW4" s="328"/>
      <c r="EX4" s="328"/>
      <c r="EY4" s="328"/>
      <c r="EZ4" s="328"/>
      <c r="FA4" s="328"/>
      <c r="FB4" s="328"/>
      <c r="FC4" s="328"/>
      <c r="FD4" s="328"/>
      <c r="FE4" s="328"/>
      <c r="FF4" s="328"/>
      <c r="FG4" s="328"/>
      <c r="FH4" s="328"/>
      <c r="FI4" s="328"/>
      <c r="FJ4" s="328"/>
      <c r="FK4" s="328"/>
      <c r="FL4" s="328"/>
      <c r="FM4" s="328"/>
      <c r="FN4" s="328"/>
      <c r="FO4" s="328"/>
      <c r="FP4" s="328"/>
      <c r="FQ4" s="328"/>
      <c r="FR4" s="328"/>
      <c r="FS4" s="328"/>
      <c r="FT4" s="328"/>
      <c r="FU4" s="328"/>
      <c r="FV4" s="328"/>
      <c r="FW4" s="328"/>
      <c r="FX4" s="328"/>
      <c r="FY4" s="328"/>
      <c r="FZ4" s="328"/>
      <c r="GA4" s="328"/>
      <c r="GB4" s="328"/>
      <c r="GC4" s="328"/>
      <c r="GD4" s="328"/>
      <c r="GE4" s="328"/>
      <c r="GF4" s="328"/>
      <c r="GG4" s="328"/>
      <c r="GH4" s="328"/>
      <c r="GI4" s="328"/>
      <c r="GJ4" s="328"/>
      <c r="GK4" s="328"/>
      <c r="GL4" s="328"/>
      <c r="GM4" s="328"/>
      <c r="GN4" s="328"/>
      <c r="GO4" s="328"/>
      <c r="GP4" s="328"/>
      <c r="GQ4" s="328"/>
      <c r="GR4" s="328"/>
      <c r="GS4" s="328"/>
      <c r="GT4" s="328"/>
      <c r="GU4" s="328"/>
      <c r="GV4" s="328"/>
      <c r="GW4" s="328"/>
      <c r="GX4" s="328"/>
      <c r="GY4" s="328"/>
      <c r="GZ4" s="328"/>
      <c r="HA4" s="328"/>
      <c r="HB4" s="328"/>
      <c r="HC4" s="328"/>
      <c r="HD4" s="328"/>
      <c r="HE4" s="328"/>
      <c r="HF4" s="328"/>
      <c r="HG4" s="328"/>
      <c r="HH4" s="328"/>
      <c r="HI4" s="328"/>
      <c r="HJ4" s="328"/>
      <c r="HK4" s="328"/>
      <c r="HL4" s="328"/>
      <c r="HM4" s="328"/>
      <c r="HN4" s="328"/>
      <c r="HO4" s="328"/>
      <c r="HP4" s="328"/>
      <c r="HQ4" s="328"/>
      <c r="HR4" s="328"/>
      <c r="HS4" s="328"/>
      <c r="HT4" s="328"/>
      <c r="HU4" s="328"/>
      <c r="HV4" s="328"/>
      <c r="HW4" s="328"/>
      <c r="HX4" s="328"/>
      <c r="HY4" s="328"/>
      <c r="HZ4" s="328"/>
      <c r="IA4" s="328"/>
      <c r="IB4" s="328"/>
      <c r="IC4" s="328"/>
      <c r="ID4" s="328"/>
      <c r="IE4" s="328"/>
      <c r="IF4" s="328"/>
      <c r="IG4" s="328"/>
      <c r="IH4" s="328"/>
      <c r="II4" s="328"/>
      <c r="IJ4" s="328"/>
      <c r="IK4" s="328"/>
      <c r="IL4" s="328"/>
      <c r="IM4" s="328"/>
      <c r="IN4" s="328"/>
    </row>
    <row r="5" spans="1:248" customFormat="1" ht="14.45" customHeight="1">
      <c r="A5" s="346" t="s">
        <v>93</v>
      </c>
      <c r="B5" s="338">
        <v>181740</v>
      </c>
      <c r="C5" s="338">
        <v>197059</v>
      </c>
      <c r="D5" s="340">
        <f t="shared" si="0"/>
        <v>8.4290745020358759</v>
      </c>
      <c r="E5" s="328"/>
      <c r="F5" s="328"/>
      <c r="G5" s="328">
        <f>+B5/0.375</f>
        <v>484640</v>
      </c>
      <c r="H5" s="328">
        <f>+C5/0.375</f>
        <v>525490.66666666663</v>
      </c>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8"/>
      <c r="CD5" s="328"/>
      <c r="CE5" s="328"/>
      <c r="CF5" s="328"/>
      <c r="CG5" s="328"/>
      <c r="CH5" s="328"/>
      <c r="CI5" s="328"/>
      <c r="CJ5" s="328"/>
      <c r="CK5" s="328"/>
      <c r="CL5" s="328"/>
      <c r="CM5" s="328"/>
      <c r="CN5" s="328"/>
      <c r="CO5" s="328"/>
      <c r="CP5" s="328"/>
      <c r="CQ5" s="328"/>
      <c r="CR5" s="328"/>
      <c r="CS5" s="328"/>
      <c r="CT5" s="328"/>
      <c r="CU5" s="328"/>
      <c r="CV5" s="328"/>
      <c r="CW5" s="328"/>
      <c r="CX5" s="328"/>
      <c r="CY5" s="328"/>
      <c r="CZ5" s="328"/>
      <c r="DA5" s="328"/>
      <c r="DB5" s="328"/>
      <c r="DC5" s="328"/>
      <c r="DD5" s="328"/>
      <c r="DE5" s="328"/>
      <c r="DF5" s="328"/>
      <c r="DG5" s="328"/>
      <c r="DH5" s="328"/>
      <c r="DI5" s="328"/>
      <c r="DJ5" s="328"/>
      <c r="DK5" s="328"/>
      <c r="DL5" s="328"/>
      <c r="DM5" s="328"/>
      <c r="DN5" s="328"/>
      <c r="DO5" s="328"/>
      <c r="DP5" s="328"/>
      <c r="DQ5" s="328"/>
      <c r="DR5" s="328"/>
      <c r="DS5" s="328"/>
      <c r="DT5" s="328"/>
      <c r="DU5" s="328"/>
      <c r="DV5" s="328"/>
      <c r="DW5" s="328"/>
      <c r="DX5" s="328"/>
      <c r="DY5" s="328"/>
      <c r="DZ5" s="328"/>
      <c r="EA5" s="328"/>
      <c r="EB5" s="328"/>
      <c r="EC5" s="328"/>
      <c r="ED5" s="328"/>
      <c r="EE5" s="328"/>
      <c r="EF5" s="328"/>
      <c r="EG5" s="328"/>
      <c r="EH5" s="328"/>
      <c r="EI5" s="328"/>
      <c r="EJ5" s="328"/>
      <c r="EK5" s="328"/>
      <c r="EL5" s="328"/>
      <c r="EM5" s="328"/>
      <c r="EN5" s="328"/>
      <c r="EO5" s="328"/>
      <c r="EP5" s="328"/>
      <c r="EQ5" s="328"/>
      <c r="ER5" s="328"/>
      <c r="ES5" s="328"/>
      <c r="ET5" s="328"/>
      <c r="EU5" s="328"/>
      <c r="EV5" s="328"/>
      <c r="EW5" s="328"/>
      <c r="EX5" s="328"/>
      <c r="EY5" s="328"/>
      <c r="EZ5" s="328"/>
      <c r="FA5" s="328"/>
      <c r="FB5" s="328"/>
      <c r="FC5" s="328"/>
      <c r="FD5" s="328"/>
      <c r="FE5" s="328"/>
      <c r="FF5" s="328"/>
      <c r="FG5" s="328"/>
      <c r="FH5" s="328"/>
      <c r="FI5" s="328"/>
      <c r="FJ5" s="328"/>
      <c r="FK5" s="328"/>
      <c r="FL5" s="328"/>
      <c r="FM5" s="328"/>
      <c r="FN5" s="328"/>
      <c r="FO5" s="328"/>
      <c r="FP5" s="328"/>
      <c r="FQ5" s="328"/>
      <c r="FR5" s="328"/>
      <c r="FS5" s="328"/>
      <c r="FT5" s="328"/>
      <c r="FU5" s="328"/>
      <c r="FV5" s="328"/>
      <c r="FW5" s="328"/>
      <c r="FX5" s="328"/>
      <c r="FY5" s="328"/>
      <c r="FZ5" s="328"/>
      <c r="GA5" s="328"/>
      <c r="GB5" s="328"/>
      <c r="GC5" s="328"/>
      <c r="GD5" s="328"/>
      <c r="GE5" s="328"/>
      <c r="GF5" s="328"/>
      <c r="GG5" s="328"/>
      <c r="GH5" s="328"/>
      <c r="GI5" s="328"/>
      <c r="GJ5" s="328"/>
      <c r="GK5" s="328"/>
      <c r="GL5" s="328"/>
      <c r="GM5" s="328"/>
      <c r="GN5" s="328"/>
      <c r="GO5" s="328"/>
      <c r="GP5" s="328"/>
      <c r="GQ5" s="328"/>
      <c r="GR5" s="328"/>
      <c r="GS5" s="328"/>
      <c r="GT5" s="328"/>
      <c r="GU5" s="328"/>
      <c r="GV5" s="328"/>
      <c r="GW5" s="328"/>
      <c r="GX5" s="328"/>
      <c r="GY5" s="328"/>
      <c r="GZ5" s="328"/>
      <c r="HA5" s="328"/>
      <c r="HB5" s="328"/>
      <c r="HC5" s="328"/>
      <c r="HD5" s="328"/>
      <c r="HE5" s="328"/>
      <c r="HF5" s="328"/>
      <c r="HG5" s="328"/>
      <c r="HH5" s="328"/>
      <c r="HI5" s="328"/>
      <c r="HJ5" s="328"/>
      <c r="HK5" s="328"/>
      <c r="HL5" s="328"/>
      <c r="HM5" s="328"/>
      <c r="HN5" s="328"/>
      <c r="HO5" s="328"/>
      <c r="HP5" s="328"/>
      <c r="HQ5" s="328"/>
      <c r="HR5" s="328"/>
      <c r="HS5" s="328"/>
      <c r="HT5" s="328"/>
      <c r="HU5" s="328"/>
      <c r="HV5" s="328"/>
      <c r="HW5" s="328"/>
      <c r="HX5" s="328"/>
      <c r="HY5" s="328"/>
      <c r="HZ5" s="328"/>
      <c r="IA5" s="328"/>
      <c r="IB5" s="328"/>
      <c r="IC5" s="328"/>
      <c r="ID5" s="328"/>
      <c r="IE5" s="328"/>
      <c r="IF5" s="328"/>
      <c r="IG5" s="328"/>
      <c r="IH5" s="328"/>
      <c r="II5" s="328"/>
      <c r="IJ5" s="328"/>
      <c r="IK5" s="328"/>
      <c r="IL5" s="328"/>
      <c r="IM5" s="328"/>
      <c r="IN5" s="328"/>
    </row>
    <row r="6" spans="1:248" customFormat="1" ht="14.45" customHeight="1">
      <c r="A6" s="346" t="s">
        <v>94</v>
      </c>
      <c r="B6" s="338">
        <v>2044</v>
      </c>
      <c r="C6" s="338"/>
      <c r="D6" s="340"/>
      <c r="E6" s="328"/>
      <c r="F6" s="328"/>
      <c r="G6" s="328">
        <f>+B6/0.75</f>
        <v>2725.3333333333335</v>
      </c>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8"/>
      <c r="CQ6" s="328"/>
      <c r="CR6" s="328"/>
      <c r="CS6" s="328"/>
      <c r="CT6" s="328"/>
      <c r="CU6" s="328"/>
      <c r="CV6" s="328"/>
      <c r="CW6" s="328"/>
      <c r="CX6" s="328"/>
      <c r="CY6" s="328"/>
      <c r="CZ6" s="328"/>
      <c r="DA6" s="328"/>
      <c r="DB6" s="328"/>
      <c r="DC6" s="328"/>
      <c r="DD6" s="328"/>
      <c r="DE6" s="328"/>
      <c r="DF6" s="328"/>
      <c r="DG6" s="328"/>
      <c r="DH6" s="328"/>
      <c r="DI6" s="328"/>
      <c r="DJ6" s="328"/>
      <c r="DK6" s="328"/>
      <c r="DL6" s="328"/>
      <c r="DM6" s="328"/>
      <c r="DN6" s="328"/>
      <c r="DO6" s="328"/>
      <c r="DP6" s="328"/>
      <c r="DQ6" s="328"/>
      <c r="DR6" s="328"/>
      <c r="DS6" s="328"/>
      <c r="DT6" s="328"/>
      <c r="DU6" s="328"/>
      <c r="DV6" s="328"/>
      <c r="DW6" s="328"/>
      <c r="DX6" s="328"/>
      <c r="DY6" s="328"/>
      <c r="DZ6" s="328"/>
      <c r="EA6" s="328"/>
      <c r="EB6" s="328"/>
      <c r="EC6" s="328"/>
      <c r="ED6" s="328"/>
      <c r="EE6" s="328"/>
      <c r="EF6" s="328"/>
      <c r="EG6" s="328"/>
      <c r="EH6" s="328"/>
      <c r="EI6" s="328"/>
      <c r="EJ6" s="328"/>
      <c r="EK6" s="328"/>
      <c r="EL6" s="328"/>
      <c r="EM6" s="328"/>
      <c r="EN6" s="328"/>
      <c r="EO6" s="328"/>
      <c r="EP6" s="328"/>
      <c r="EQ6" s="328"/>
      <c r="ER6" s="328"/>
      <c r="ES6" s="328"/>
      <c r="ET6" s="328"/>
      <c r="EU6" s="328"/>
      <c r="EV6" s="328"/>
      <c r="EW6" s="328"/>
      <c r="EX6" s="328"/>
      <c r="EY6" s="328"/>
      <c r="EZ6" s="328"/>
      <c r="FA6" s="328"/>
      <c r="FB6" s="328"/>
      <c r="FC6" s="328"/>
      <c r="FD6" s="328"/>
      <c r="FE6" s="328"/>
      <c r="FF6" s="328"/>
      <c r="FG6" s="328"/>
      <c r="FH6" s="328"/>
      <c r="FI6" s="328"/>
      <c r="FJ6" s="328"/>
      <c r="FK6" s="328"/>
      <c r="FL6" s="328"/>
      <c r="FM6" s="328"/>
      <c r="FN6" s="328"/>
      <c r="FO6" s="328"/>
      <c r="FP6" s="328"/>
      <c r="FQ6" s="328"/>
      <c r="FR6" s="328"/>
      <c r="FS6" s="328"/>
      <c r="FT6" s="328"/>
      <c r="FU6" s="328"/>
      <c r="FV6" s="328"/>
      <c r="FW6" s="328"/>
      <c r="FX6" s="328"/>
      <c r="FY6" s="328"/>
      <c r="FZ6" s="328"/>
      <c r="GA6" s="328"/>
      <c r="GB6" s="328"/>
      <c r="GC6" s="328"/>
      <c r="GD6" s="328"/>
      <c r="GE6" s="328"/>
      <c r="GF6" s="328"/>
      <c r="GG6" s="328"/>
      <c r="GH6" s="328"/>
      <c r="GI6" s="328"/>
      <c r="GJ6" s="328"/>
      <c r="GK6" s="328"/>
      <c r="GL6" s="328"/>
      <c r="GM6" s="328"/>
      <c r="GN6" s="328"/>
      <c r="GO6" s="328"/>
      <c r="GP6" s="328"/>
      <c r="GQ6" s="328"/>
      <c r="GR6" s="328"/>
      <c r="GS6" s="328"/>
      <c r="GT6" s="328"/>
      <c r="GU6" s="328"/>
      <c r="GV6" s="328"/>
      <c r="GW6" s="328"/>
      <c r="GX6" s="328"/>
      <c r="GY6" s="328"/>
      <c r="GZ6" s="328"/>
      <c r="HA6" s="328"/>
      <c r="HB6" s="328"/>
      <c r="HC6" s="328"/>
      <c r="HD6" s="328"/>
      <c r="HE6" s="328"/>
      <c r="HF6" s="328"/>
      <c r="HG6" s="328"/>
      <c r="HH6" s="328"/>
      <c r="HI6" s="328"/>
      <c r="HJ6" s="328"/>
      <c r="HK6" s="328"/>
      <c r="HL6" s="328"/>
      <c r="HM6" s="328"/>
      <c r="HN6" s="328"/>
      <c r="HO6" s="328"/>
      <c r="HP6" s="328"/>
      <c r="HQ6" s="328"/>
      <c r="HR6" s="328"/>
      <c r="HS6" s="328"/>
      <c r="HT6" s="328"/>
      <c r="HU6" s="328"/>
      <c r="HV6" s="328"/>
      <c r="HW6" s="328"/>
      <c r="HX6" s="328"/>
      <c r="HY6" s="328"/>
      <c r="HZ6" s="328"/>
      <c r="IA6" s="328"/>
      <c r="IB6" s="328"/>
      <c r="IC6" s="328"/>
      <c r="ID6" s="328"/>
      <c r="IE6" s="328"/>
      <c r="IF6" s="328"/>
      <c r="IG6" s="328"/>
      <c r="IH6" s="328"/>
      <c r="II6" s="328"/>
      <c r="IJ6" s="328"/>
      <c r="IK6" s="328"/>
      <c r="IL6" s="328"/>
      <c r="IM6" s="328"/>
      <c r="IN6" s="328"/>
    </row>
    <row r="7" spans="1:248" customFormat="1" ht="14.45" customHeight="1">
      <c r="A7" s="346" t="s">
        <v>95</v>
      </c>
      <c r="B7" s="338">
        <v>44295</v>
      </c>
      <c r="C7" s="338">
        <v>51158</v>
      </c>
      <c r="D7" s="340">
        <f>(C7-B7)/B7*100</f>
        <v>15.493848064115589</v>
      </c>
      <c r="E7" s="328">
        <f>+C7+C9</f>
        <v>73193</v>
      </c>
      <c r="F7" s="328"/>
      <c r="G7" s="328">
        <f>SUM(G5:G6)</f>
        <v>487365.33333333331</v>
      </c>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8"/>
      <c r="BD7" s="328"/>
      <c r="BE7" s="328"/>
      <c r="BF7" s="328"/>
      <c r="BG7" s="328"/>
      <c r="BH7" s="328"/>
      <c r="BI7" s="328"/>
      <c r="BJ7" s="328"/>
      <c r="BK7" s="328"/>
      <c r="BL7" s="328"/>
      <c r="BM7" s="328"/>
      <c r="BN7" s="328"/>
      <c r="BO7" s="328"/>
      <c r="BP7" s="328"/>
      <c r="BQ7" s="328"/>
      <c r="BR7" s="328"/>
      <c r="BS7" s="328"/>
      <c r="BT7" s="328"/>
      <c r="BU7" s="328"/>
      <c r="BV7" s="328"/>
      <c r="BW7" s="328"/>
      <c r="BX7" s="328"/>
      <c r="BY7" s="328"/>
      <c r="BZ7" s="328"/>
      <c r="CA7" s="328"/>
      <c r="CB7" s="328"/>
      <c r="CC7" s="328"/>
      <c r="CD7" s="328"/>
      <c r="CE7" s="328"/>
      <c r="CF7" s="328"/>
      <c r="CG7" s="328"/>
      <c r="CH7" s="328"/>
      <c r="CI7" s="328"/>
      <c r="CJ7" s="328"/>
      <c r="CK7" s="328"/>
      <c r="CL7" s="328"/>
      <c r="CM7" s="328"/>
      <c r="CN7" s="328"/>
      <c r="CO7" s="328"/>
      <c r="CP7" s="328"/>
      <c r="CQ7" s="328"/>
      <c r="CR7" s="328"/>
      <c r="CS7" s="328"/>
      <c r="CT7" s="328"/>
      <c r="CU7" s="328"/>
      <c r="CV7" s="328"/>
      <c r="CW7" s="328"/>
      <c r="CX7" s="328"/>
      <c r="CY7" s="328"/>
      <c r="CZ7" s="328"/>
      <c r="DA7" s="328"/>
      <c r="DB7" s="328"/>
      <c r="DC7" s="328"/>
      <c r="DD7" s="328"/>
      <c r="DE7" s="328"/>
      <c r="DF7" s="328"/>
      <c r="DG7" s="328"/>
      <c r="DH7" s="328"/>
      <c r="DI7" s="328"/>
      <c r="DJ7" s="328"/>
      <c r="DK7" s="328"/>
      <c r="DL7" s="328"/>
      <c r="DM7" s="328"/>
      <c r="DN7" s="328"/>
      <c r="DO7" s="328"/>
      <c r="DP7" s="328"/>
      <c r="DQ7" s="328"/>
      <c r="DR7" s="328"/>
      <c r="DS7" s="328"/>
      <c r="DT7" s="328"/>
      <c r="DU7" s="328"/>
      <c r="DV7" s="328"/>
      <c r="DW7" s="328"/>
      <c r="DX7" s="328"/>
      <c r="DY7" s="328"/>
      <c r="DZ7" s="328"/>
      <c r="EA7" s="328"/>
      <c r="EB7" s="328"/>
      <c r="EC7" s="328"/>
      <c r="ED7" s="328"/>
      <c r="EE7" s="328"/>
      <c r="EF7" s="328"/>
      <c r="EG7" s="328"/>
      <c r="EH7" s="328"/>
      <c r="EI7" s="328"/>
      <c r="EJ7" s="328"/>
      <c r="EK7" s="328"/>
      <c r="EL7" s="328"/>
      <c r="EM7" s="328"/>
      <c r="EN7" s="328"/>
      <c r="EO7" s="328"/>
      <c r="EP7" s="328"/>
      <c r="EQ7" s="328"/>
      <c r="ER7" s="328"/>
      <c r="ES7" s="328"/>
      <c r="ET7" s="328"/>
      <c r="EU7" s="328"/>
      <c r="EV7" s="328"/>
      <c r="EW7" s="328"/>
      <c r="EX7" s="328"/>
      <c r="EY7" s="328"/>
      <c r="EZ7" s="328"/>
      <c r="FA7" s="328"/>
      <c r="FB7" s="328"/>
      <c r="FC7" s="328"/>
      <c r="FD7" s="328"/>
      <c r="FE7" s="328"/>
      <c r="FF7" s="328"/>
      <c r="FG7" s="328"/>
      <c r="FH7" s="328"/>
      <c r="FI7" s="328"/>
      <c r="FJ7" s="328"/>
      <c r="FK7" s="328"/>
      <c r="FL7" s="328"/>
      <c r="FM7" s="328"/>
      <c r="FN7" s="328"/>
      <c r="FO7" s="328"/>
      <c r="FP7" s="328"/>
      <c r="FQ7" s="328"/>
      <c r="FR7" s="328"/>
      <c r="FS7" s="328"/>
      <c r="FT7" s="328"/>
      <c r="FU7" s="328"/>
      <c r="FV7" s="328"/>
      <c r="FW7" s="328"/>
      <c r="FX7" s="328"/>
      <c r="FY7" s="328"/>
      <c r="FZ7" s="328"/>
      <c r="GA7" s="328"/>
      <c r="GB7" s="328"/>
      <c r="GC7" s="328"/>
      <c r="GD7" s="328"/>
      <c r="GE7" s="328"/>
      <c r="GF7" s="328"/>
      <c r="GG7" s="328"/>
      <c r="GH7" s="328"/>
      <c r="GI7" s="328"/>
      <c r="GJ7" s="328"/>
      <c r="GK7" s="328"/>
      <c r="GL7" s="328"/>
      <c r="GM7" s="328"/>
      <c r="GN7" s="328"/>
      <c r="GO7" s="328"/>
      <c r="GP7" s="328"/>
      <c r="GQ7" s="328"/>
      <c r="GR7" s="328"/>
      <c r="GS7" s="328"/>
      <c r="GT7" s="328"/>
      <c r="GU7" s="328"/>
      <c r="GV7" s="328"/>
      <c r="GW7" s="328"/>
      <c r="GX7" s="328"/>
      <c r="GY7" s="328"/>
      <c r="GZ7" s="328"/>
      <c r="HA7" s="328"/>
      <c r="HB7" s="328"/>
      <c r="HC7" s="328"/>
      <c r="HD7" s="328"/>
      <c r="HE7" s="328"/>
      <c r="HF7" s="328"/>
      <c r="HG7" s="328"/>
      <c r="HH7" s="328"/>
      <c r="HI7" s="328"/>
      <c r="HJ7" s="328"/>
      <c r="HK7" s="328"/>
      <c r="HL7" s="328"/>
      <c r="HM7" s="328"/>
      <c r="HN7" s="328"/>
      <c r="HO7" s="328"/>
      <c r="HP7" s="328"/>
      <c r="HQ7" s="328"/>
      <c r="HR7" s="328"/>
      <c r="HS7" s="328"/>
      <c r="HT7" s="328"/>
      <c r="HU7" s="328"/>
      <c r="HV7" s="328"/>
      <c r="HW7" s="328"/>
      <c r="HX7" s="328"/>
      <c r="HY7" s="328"/>
      <c r="HZ7" s="328"/>
      <c r="IA7" s="328"/>
      <c r="IB7" s="328"/>
      <c r="IC7" s="328"/>
      <c r="ID7" s="328"/>
      <c r="IE7" s="328"/>
      <c r="IF7" s="328"/>
      <c r="IG7" s="328"/>
      <c r="IH7" s="328"/>
      <c r="II7" s="328"/>
      <c r="IJ7" s="328"/>
      <c r="IK7" s="328"/>
      <c r="IL7" s="328"/>
      <c r="IM7" s="328"/>
      <c r="IN7" s="328"/>
    </row>
    <row r="8" spans="1:248" customFormat="1" ht="14.45" hidden="1" customHeight="1">
      <c r="A8" s="346" t="s">
        <v>96</v>
      </c>
      <c r="B8" s="338"/>
      <c r="C8" s="338">
        <v>0</v>
      </c>
      <c r="D8" s="340"/>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8"/>
      <c r="BN8" s="328"/>
      <c r="BO8" s="328"/>
      <c r="BP8" s="328"/>
      <c r="BQ8" s="328"/>
      <c r="BR8" s="328"/>
      <c r="BS8" s="328"/>
      <c r="BT8" s="328"/>
      <c r="BU8" s="328"/>
      <c r="BV8" s="328"/>
      <c r="BW8" s="328"/>
      <c r="BX8" s="328"/>
      <c r="BY8" s="328"/>
      <c r="BZ8" s="328"/>
      <c r="CA8" s="328"/>
      <c r="CB8" s="328"/>
      <c r="CC8" s="328"/>
      <c r="CD8" s="328"/>
      <c r="CE8" s="328"/>
      <c r="CF8" s="328"/>
      <c r="CG8" s="328"/>
      <c r="CH8" s="328"/>
      <c r="CI8" s="328"/>
      <c r="CJ8" s="328"/>
      <c r="CK8" s="328"/>
      <c r="CL8" s="328"/>
      <c r="CM8" s="328"/>
      <c r="CN8" s="328"/>
      <c r="CO8" s="328"/>
      <c r="CP8" s="328"/>
      <c r="CQ8" s="328"/>
      <c r="CR8" s="328"/>
      <c r="CS8" s="328"/>
      <c r="CT8" s="328"/>
      <c r="CU8" s="328"/>
      <c r="CV8" s="328"/>
      <c r="CW8" s="328"/>
      <c r="CX8" s="328"/>
      <c r="CY8" s="328"/>
      <c r="CZ8" s="328"/>
      <c r="DA8" s="328"/>
      <c r="DB8" s="328"/>
      <c r="DC8" s="328"/>
      <c r="DD8" s="328"/>
      <c r="DE8" s="328"/>
      <c r="DF8" s="328"/>
      <c r="DG8" s="328"/>
      <c r="DH8" s="328"/>
      <c r="DI8" s="328"/>
      <c r="DJ8" s="328"/>
      <c r="DK8" s="328"/>
      <c r="DL8" s="328"/>
      <c r="DM8" s="328"/>
      <c r="DN8" s="328"/>
      <c r="DO8" s="328"/>
      <c r="DP8" s="328"/>
      <c r="DQ8" s="328"/>
      <c r="DR8" s="328"/>
      <c r="DS8" s="328"/>
      <c r="DT8" s="328"/>
      <c r="DU8" s="328"/>
      <c r="DV8" s="328"/>
      <c r="DW8" s="328"/>
      <c r="DX8" s="328"/>
      <c r="DY8" s="328"/>
      <c r="DZ8" s="328"/>
      <c r="EA8" s="328"/>
      <c r="EB8" s="328"/>
      <c r="EC8" s="328"/>
      <c r="ED8" s="328"/>
      <c r="EE8" s="328"/>
      <c r="EF8" s="328"/>
      <c r="EG8" s="328"/>
      <c r="EH8" s="328"/>
      <c r="EI8" s="328"/>
      <c r="EJ8" s="328"/>
      <c r="EK8" s="328"/>
      <c r="EL8" s="328"/>
      <c r="EM8" s="328"/>
      <c r="EN8" s="328"/>
      <c r="EO8" s="328"/>
      <c r="EP8" s="328"/>
      <c r="EQ8" s="328"/>
      <c r="ER8" s="328"/>
      <c r="ES8" s="328"/>
      <c r="ET8" s="328"/>
      <c r="EU8" s="328"/>
      <c r="EV8" s="328"/>
      <c r="EW8" s="328"/>
      <c r="EX8" s="328"/>
      <c r="EY8" s="328"/>
      <c r="EZ8" s="328"/>
      <c r="FA8" s="328"/>
      <c r="FB8" s="328"/>
      <c r="FC8" s="328"/>
      <c r="FD8" s="328"/>
      <c r="FE8" s="328"/>
      <c r="FF8" s="328"/>
      <c r="FG8" s="328"/>
      <c r="FH8" s="328"/>
      <c r="FI8" s="328"/>
      <c r="FJ8" s="328"/>
      <c r="FK8" s="328"/>
      <c r="FL8" s="328"/>
      <c r="FM8" s="328"/>
      <c r="FN8" s="328"/>
      <c r="FO8" s="328"/>
      <c r="FP8" s="328"/>
      <c r="FQ8" s="328"/>
      <c r="FR8" s="328"/>
      <c r="FS8" s="328"/>
      <c r="FT8" s="328"/>
      <c r="FU8" s="328"/>
      <c r="FV8" s="328"/>
      <c r="FW8" s="328"/>
      <c r="FX8" s="328"/>
      <c r="FY8" s="328"/>
      <c r="FZ8" s="328"/>
      <c r="GA8" s="328"/>
      <c r="GB8" s="328"/>
      <c r="GC8" s="328"/>
      <c r="GD8" s="328"/>
      <c r="GE8" s="328"/>
      <c r="GF8" s="328"/>
      <c r="GG8" s="328"/>
      <c r="GH8" s="328"/>
      <c r="GI8" s="328"/>
      <c r="GJ8" s="328"/>
      <c r="GK8" s="328"/>
      <c r="GL8" s="328"/>
      <c r="GM8" s="328"/>
      <c r="GN8" s="328"/>
      <c r="GO8" s="328"/>
      <c r="GP8" s="328"/>
      <c r="GQ8" s="328"/>
      <c r="GR8" s="328"/>
      <c r="GS8" s="328"/>
      <c r="GT8" s="328"/>
      <c r="GU8" s="328"/>
      <c r="GV8" s="328"/>
      <c r="GW8" s="328"/>
      <c r="GX8" s="328"/>
      <c r="GY8" s="328"/>
      <c r="GZ8" s="328"/>
      <c r="HA8" s="328"/>
      <c r="HB8" s="328"/>
      <c r="HC8" s="328"/>
      <c r="HD8" s="328"/>
      <c r="HE8" s="328"/>
      <c r="HF8" s="328"/>
      <c r="HG8" s="328"/>
      <c r="HH8" s="328"/>
      <c r="HI8" s="328"/>
      <c r="HJ8" s="328"/>
      <c r="HK8" s="328"/>
      <c r="HL8" s="328"/>
      <c r="HM8" s="328"/>
      <c r="HN8" s="328"/>
      <c r="HO8" s="328"/>
      <c r="HP8" s="328"/>
      <c r="HQ8" s="328"/>
      <c r="HR8" s="328"/>
      <c r="HS8" s="328"/>
      <c r="HT8" s="328"/>
      <c r="HU8" s="328"/>
      <c r="HV8" s="328"/>
      <c r="HW8" s="328"/>
      <c r="HX8" s="328"/>
      <c r="HY8" s="328"/>
      <c r="HZ8" s="328"/>
      <c r="IA8" s="328"/>
      <c r="IB8" s="328"/>
      <c r="IC8" s="328"/>
      <c r="ID8" s="328"/>
      <c r="IE8" s="328"/>
      <c r="IF8" s="328"/>
      <c r="IG8" s="328"/>
      <c r="IH8" s="328"/>
      <c r="II8" s="328"/>
      <c r="IJ8" s="328"/>
      <c r="IK8" s="328"/>
      <c r="IL8" s="328"/>
      <c r="IM8" s="328"/>
      <c r="IN8" s="328"/>
    </row>
    <row r="9" spans="1:248" customFormat="1" ht="14.45" customHeight="1">
      <c r="A9" s="346" t="s">
        <v>97</v>
      </c>
      <c r="B9" s="338">
        <v>21482</v>
      </c>
      <c r="C9" s="338">
        <v>22035</v>
      </c>
      <c r="D9" s="340">
        <f t="shared" ref="D9" si="1">(C9-B9)/B9*100</f>
        <v>2.5742482078018809</v>
      </c>
      <c r="E9" s="328"/>
      <c r="F9" s="328"/>
      <c r="G9" s="328"/>
      <c r="H9" s="328">
        <f>+H5/G7</f>
        <v>1.0782274214552259</v>
      </c>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c r="BC9" s="328"/>
      <c r="BD9" s="328"/>
      <c r="BE9" s="328"/>
      <c r="BF9" s="328"/>
      <c r="BG9" s="328"/>
      <c r="BH9" s="328"/>
      <c r="BI9" s="328"/>
      <c r="BJ9" s="328"/>
      <c r="BK9" s="328"/>
      <c r="BL9" s="328"/>
      <c r="BM9" s="328"/>
      <c r="BN9" s="328"/>
      <c r="BO9" s="328"/>
      <c r="BP9" s="328"/>
      <c r="BQ9" s="328"/>
      <c r="BR9" s="328"/>
      <c r="BS9" s="328"/>
      <c r="BT9" s="328"/>
      <c r="BU9" s="328"/>
      <c r="BV9" s="328"/>
      <c r="BW9" s="328"/>
      <c r="BX9" s="328"/>
      <c r="BY9" s="328"/>
      <c r="BZ9" s="328"/>
      <c r="CA9" s="328"/>
      <c r="CB9" s="328"/>
      <c r="CC9" s="328"/>
      <c r="CD9" s="328"/>
      <c r="CE9" s="328"/>
      <c r="CF9" s="328"/>
      <c r="CG9" s="328"/>
      <c r="CH9" s="328"/>
      <c r="CI9" s="328"/>
      <c r="CJ9" s="328"/>
      <c r="CK9" s="328"/>
      <c r="CL9" s="328"/>
      <c r="CM9" s="328"/>
      <c r="CN9" s="328"/>
      <c r="CO9" s="328"/>
      <c r="CP9" s="328"/>
      <c r="CQ9" s="328"/>
      <c r="CR9" s="328"/>
      <c r="CS9" s="328"/>
      <c r="CT9" s="328"/>
      <c r="CU9" s="328"/>
      <c r="CV9" s="328"/>
      <c r="CW9" s="328"/>
      <c r="CX9" s="328"/>
      <c r="CY9" s="328"/>
      <c r="CZ9" s="328"/>
      <c r="DA9" s="328"/>
      <c r="DB9" s="328"/>
      <c r="DC9" s="328"/>
      <c r="DD9" s="328"/>
      <c r="DE9" s="328"/>
      <c r="DF9" s="328"/>
      <c r="DG9" s="328"/>
      <c r="DH9" s="328"/>
      <c r="DI9" s="328"/>
      <c r="DJ9" s="328"/>
      <c r="DK9" s="328"/>
      <c r="DL9" s="328"/>
      <c r="DM9" s="328"/>
      <c r="DN9" s="328"/>
      <c r="DO9" s="328"/>
      <c r="DP9" s="328"/>
      <c r="DQ9" s="328"/>
      <c r="DR9" s="328"/>
      <c r="DS9" s="328"/>
      <c r="DT9" s="328"/>
      <c r="DU9" s="328"/>
      <c r="DV9" s="328"/>
      <c r="DW9" s="328"/>
      <c r="DX9" s="328"/>
      <c r="DY9" s="328"/>
      <c r="DZ9" s="328"/>
      <c r="EA9" s="328"/>
      <c r="EB9" s="328"/>
      <c r="EC9" s="328"/>
      <c r="ED9" s="328"/>
      <c r="EE9" s="328"/>
      <c r="EF9" s="328"/>
      <c r="EG9" s="328"/>
      <c r="EH9" s="328"/>
      <c r="EI9" s="328"/>
      <c r="EJ9" s="328"/>
      <c r="EK9" s="328"/>
      <c r="EL9" s="328"/>
      <c r="EM9" s="328"/>
      <c r="EN9" s="328"/>
      <c r="EO9" s="328"/>
      <c r="EP9" s="328"/>
      <c r="EQ9" s="328"/>
      <c r="ER9" s="328"/>
      <c r="ES9" s="328"/>
      <c r="ET9" s="328"/>
      <c r="EU9" s="328"/>
      <c r="EV9" s="328"/>
      <c r="EW9" s="328"/>
      <c r="EX9" s="328"/>
      <c r="EY9" s="328"/>
      <c r="EZ9" s="328"/>
      <c r="FA9" s="328"/>
      <c r="FB9" s="328"/>
      <c r="FC9" s="328"/>
      <c r="FD9" s="328"/>
      <c r="FE9" s="328"/>
      <c r="FF9" s="328"/>
      <c r="FG9" s="328"/>
      <c r="FH9" s="328"/>
      <c r="FI9" s="328"/>
      <c r="FJ9" s="328"/>
      <c r="FK9" s="328"/>
      <c r="FL9" s="328"/>
      <c r="FM9" s="328"/>
      <c r="FN9" s="328"/>
      <c r="FO9" s="328"/>
      <c r="FP9" s="328"/>
      <c r="FQ9" s="328"/>
      <c r="FR9" s="328"/>
      <c r="FS9" s="328"/>
      <c r="FT9" s="328"/>
      <c r="FU9" s="328"/>
      <c r="FV9" s="328"/>
      <c r="FW9" s="328"/>
      <c r="FX9" s="328"/>
      <c r="FY9" s="328"/>
      <c r="FZ9" s="328"/>
      <c r="GA9" s="328"/>
      <c r="GB9" s="328"/>
      <c r="GC9" s="328"/>
      <c r="GD9" s="328"/>
      <c r="GE9" s="328"/>
      <c r="GF9" s="328"/>
      <c r="GG9" s="328"/>
      <c r="GH9" s="328"/>
      <c r="GI9" s="328"/>
      <c r="GJ9" s="328"/>
      <c r="GK9" s="328"/>
      <c r="GL9" s="328"/>
      <c r="GM9" s="328"/>
      <c r="GN9" s="328"/>
      <c r="GO9" s="328"/>
      <c r="GP9" s="328"/>
      <c r="GQ9" s="328"/>
      <c r="GR9" s="328"/>
      <c r="GS9" s="328"/>
      <c r="GT9" s="328"/>
      <c r="GU9" s="328"/>
      <c r="GV9" s="328"/>
      <c r="GW9" s="328"/>
      <c r="GX9" s="328"/>
      <c r="GY9" s="328"/>
      <c r="GZ9" s="328"/>
      <c r="HA9" s="328"/>
      <c r="HB9" s="328"/>
      <c r="HC9" s="328"/>
      <c r="HD9" s="328"/>
      <c r="HE9" s="328"/>
      <c r="HF9" s="328"/>
      <c r="HG9" s="328"/>
      <c r="HH9" s="328"/>
      <c r="HI9" s="328"/>
      <c r="HJ9" s="328"/>
      <c r="HK9" s="328"/>
      <c r="HL9" s="328"/>
      <c r="HM9" s="328"/>
      <c r="HN9" s="328"/>
      <c r="HO9" s="328"/>
      <c r="HP9" s="328"/>
      <c r="HQ9" s="328"/>
      <c r="HR9" s="328"/>
      <c r="HS9" s="328"/>
      <c r="HT9" s="328"/>
      <c r="HU9" s="328"/>
      <c r="HV9" s="328"/>
      <c r="HW9" s="328"/>
      <c r="HX9" s="328"/>
      <c r="HY9" s="328"/>
      <c r="HZ9" s="328"/>
      <c r="IA9" s="328"/>
      <c r="IB9" s="328"/>
      <c r="IC9" s="328"/>
      <c r="ID9" s="328"/>
      <c r="IE9" s="328"/>
      <c r="IF9" s="328"/>
      <c r="IG9" s="328"/>
      <c r="IH9" s="328"/>
      <c r="II9" s="328"/>
      <c r="IJ9" s="328"/>
      <c r="IK9" s="328"/>
      <c r="IL9" s="328"/>
      <c r="IM9" s="328"/>
      <c r="IN9" s="328"/>
    </row>
    <row r="10" spans="1:248" customFormat="1" ht="14.45" customHeight="1">
      <c r="A10" s="346" t="s">
        <v>98</v>
      </c>
      <c r="B10" s="338">
        <v>2083</v>
      </c>
      <c r="C10" s="338">
        <v>2486</v>
      </c>
      <c r="D10" s="340">
        <f t="shared" ref="D10:D19" si="2">(C10-B10)/B10*100</f>
        <v>19.347095535285646</v>
      </c>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c r="BC10" s="328"/>
      <c r="BD10" s="328"/>
      <c r="BE10" s="328"/>
      <c r="BF10" s="328"/>
      <c r="BG10" s="328"/>
      <c r="BH10" s="328"/>
      <c r="BI10" s="328"/>
      <c r="BJ10" s="328"/>
      <c r="BK10" s="328"/>
      <c r="BL10" s="328"/>
      <c r="BM10" s="328"/>
      <c r="BN10" s="328"/>
      <c r="BO10" s="328"/>
      <c r="BP10" s="328"/>
      <c r="BQ10" s="328"/>
      <c r="BR10" s="328"/>
      <c r="BS10" s="328"/>
      <c r="BT10" s="328"/>
      <c r="BU10" s="328"/>
      <c r="BV10" s="328"/>
      <c r="BW10" s="328"/>
      <c r="BX10" s="328"/>
      <c r="BY10" s="328"/>
      <c r="BZ10" s="328"/>
      <c r="CA10" s="328"/>
      <c r="CB10" s="328"/>
      <c r="CC10" s="328"/>
      <c r="CD10" s="328"/>
      <c r="CE10" s="328"/>
      <c r="CF10" s="328"/>
      <c r="CG10" s="328"/>
      <c r="CH10" s="328"/>
      <c r="CI10" s="328"/>
      <c r="CJ10" s="328"/>
      <c r="CK10" s="328"/>
      <c r="CL10" s="328"/>
      <c r="CM10" s="328"/>
      <c r="CN10" s="328"/>
      <c r="CO10" s="328"/>
      <c r="CP10" s="328"/>
      <c r="CQ10" s="328"/>
      <c r="CR10" s="328"/>
      <c r="CS10" s="328"/>
      <c r="CT10" s="328"/>
      <c r="CU10" s="328"/>
      <c r="CV10" s="328"/>
      <c r="CW10" s="328"/>
      <c r="CX10" s="328"/>
      <c r="CY10" s="328"/>
      <c r="CZ10" s="328"/>
      <c r="DA10" s="328"/>
      <c r="DB10" s="328"/>
      <c r="DC10" s="328"/>
      <c r="DD10" s="328"/>
      <c r="DE10" s="328"/>
      <c r="DF10" s="328"/>
      <c r="DG10" s="328"/>
      <c r="DH10" s="328"/>
      <c r="DI10" s="328"/>
      <c r="DJ10" s="328"/>
      <c r="DK10" s="328"/>
      <c r="DL10" s="328"/>
      <c r="DM10" s="328"/>
      <c r="DN10" s="328"/>
      <c r="DO10" s="328"/>
      <c r="DP10" s="328"/>
      <c r="DQ10" s="328"/>
      <c r="DR10" s="328"/>
      <c r="DS10" s="328"/>
      <c r="DT10" s="328"/>
      <c r="DU10" s="328"/>
      <c r="DV10" s="328"/>
      <c r="DW10" s="328"/>
      <c r="DX10" s="328"/>
      <c r="DY10" s="328"/>
      <c r="DZ10" s="328"/>
      <c r="EA10" s="328"/>
      <c r="EB10" s="328"/>
      <c r="EC10" s="328"/>
      <c r="ED10" s="328"/>
      <c r="EE10" s="328"/>
      <c r="EF10" s="328"/>
      <c r="EG10" s="328"/>
      <c r="EH10" s="328"/>
      <c r="EI10" s="328"/>
      <c r="EJ10" s="328"/>
      <c r="EK10" s="328"/>
      <c r="EL10" s="328"/>
      <c r="EM10" s="328"/>
      <c r="EN10" s="328"/>
      <c r="EO10" s="328"/>
      <c r="EP10" s="328"/>
      <c r="EQ10" s="328"/>
      <c r="ER10" s="328"/>
      <c r="ES10" s="328"/>
      <c r="ET10" s="328"/>
      <c r="EU10" s="328"/>
      <c r="EV10" s="328"/>
      <c r="EW10" s="328"/>
      <c r="EX10" s="328"/>
      <c r="EY10" s="328"/>
      <c r="EZ10" s="328"/>
      <c r="FA10" s="328"/>
      <c r="FB10" s="328"/>
      <c r="FC10" s="328"/>
      <c r="FD10" s="328"/>
      <c r="FE10" s="328"/>
      <c r="FF10" s="328"/>
      <c r="FG10" s="328"/>
      <c r="FH10" s="328"/>
      <c r="FI10" s="328"/>
      <c r="FJ10" s="328"/>
      <c r="FK10" s="328"/>
      <c r="FL10" s="328"/>
      <c r="FM10" s="328"/>
      <c r="FN10" s="328"/>
      <c r="FO10" s="328"/>
      <c r="FP10" s="328"/>
      <c r="FQ10" s="328"/>
      <c r="FR10" s="328"/>
      <c r="FS10" s="328"/>
      <c r="FT10" s="328"/>
      <c r="FU10" s="328"/>
      <c r="FV10" s="328"/>
      <c r="FW10" s="328"/>
      <c r="FX10" s="328"/>
      <c r="FY10" s="328"/>
      <c r="FZ10" s="328"/>
      <c r="GA10" s="328"/>
      <c r="GB10" s="328"/>
      <c r="GC10" s="328"/>
      <c r="GD10" s="328"/>
      <c r="GE10" s="328"/>
      <c r="GF10" s="328"/>
      <c r="GG10" s="328"/>
      <c r="GH10" s="328"/>
      <c r="GI10" s="328"/>
      <c r="GJ10" s="328"/>
      <c r="GK10" s="328"/>
      <c r="GL10" s="328"/>
      <c r="GM10" s="328"/>
      <c r="GN10" s="328"/>
      <c r="GO10" s="328"/>
      <c r="GP10" s="328"/>
      <c r="GQ10" s="328"/>
      <c r="GR10" s="328"/>
      <c r="GS10" s="328"/>
      <c r="GT10" s="328"/>
      <c r="GU10" s="328"/>
      <c r="GV10" s="328"/>
      <c r="GW10" s="328"/>
      <c r="GX10" s="328"/>
      <c r="GY10" s="328"/>
      <c r="GZ10" s="328"/>
      <c r="HA10" s="328"/>
      <c r="HB10" s="328"/>
      <c r="HC10" s="328"/>
      <c r="HD10" s="328"/>
      <c r="HE10" s="328"/>
      <c r="HF10" s="328"/>
      <c r="HG10" s="328"/>
      <c r="HH10" s="328"/>
      <c r="HI10" s="328"/>
      <c r="HJ10" s="328"/>
      <c r="HK10" s="328"/>
      <c r="HL10" s="328"/>
      <c r="HM10" s="328"/>
      <c r="HN10" s="328"/>
      <c r="HO10" s="328"/>
      <c r="HP10" s="328"/>
      <c r="HQ10" s="328"/>
      <c r="HR10" s="328"/>
      <c r="HS10" s="328"/>
      <c r="HT10" s="328"/>
      <c r="HU10" s="328"/>
      <c r="HV10" s="328"/>
      <c r="HW10" s="328"/>
      <c r="HX10" s="328"/>
      <c r="HY10" s="328"/>
      <c r="HZ10" s="328"/>
      <c r="IA10" s="328"/>
      <c r="IB10" s="328"/>
      <c r="IC10" s="328"/>
      <c r="ID10" s="328"/>
      <c r="IE10" s="328"/>
      <c r="IF10" s="328"/>
      <c r="IG10" s="328"/>
      <c r="IH10" s="328"/>
      <c r="II10" s="328"/>
      <c r="IJ10" s="328"/>
      <c r="IK10" s="328"/>
      <c r="IL10" s="328"/>
      <c r="IM10" s="328"/>
      <c r="IN10" s="328"/>
    </row>
    <row r="11" spans="1:248" customFormat="1" ht="14.45" customHeight="1">
      <c r="A11" s="346" t="s">
        <v>99</v>
      </c>
      <c r="B11" s="338">
        <v>34972</v>
      </c>
      <c r="C11" s="338">
        <v>37312</v>
      </c>
      <c r="D11" s="340">
        <f t="shared" si="2"/>
        <v>6.6910671394258268</v>
      </c>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8"/>
      <c r="ET11" s="328"/>
      <c r="EU11" s="328"/>
      <c r="EV11" s="328"/>
      <c r="EW11" s="328"/>
      <c r="EX11" s="328"/>
      <c r="EY11" s="328"/>
      <c r="EZ11" s="328"/>
      <c r="FA11" s="328"/>
      <c r="FB11" s="328"/>
      <c r="FC11" s="328"/>
      <c r="FD11" s="328"/>
      <c r="FE11" s="328"/>
      <c r="FF11" s="328"/>
      <c r="FG11" s="328"/>
      <c r="FH11" s="328"/>
      <c r="FI11" s="328"/>
      <c r="FJ11" s="328"/>
      <c r="FK11" s="328"/>
      <c r="FL11" s="328"/>
      <c r="FM11" s="328"/>
      <c r="FN11" s="328"/>
      <c r="FO11" s="328"/>
      <c r="FP11" s="328"/>
      <c r="FQ11" s="328"/>
      <c r="FR11" s="328"/>
      <c r="FS11" s="328"/>
      <c r="FT11" s="328"/>
      <c r="FU11" s="328"/>
      <c r="FV11" s="328"/>
      <c r="FW11" s="328"/>
      <c r="FX11" s="328"/>
      <c r="FY11" s="328"/>
      <c r="FZ11" s="328"/>
      <c r="GA11" s="328"/>
      <c r="GB11" s="328"/>
      <c r="GC11" s="328"/>
      <c r="GD11" s="328"/>
      <c r="GE11" s="328"/>
      <c r="GF11" s="328"/>
      <c r="GG11" s="328"/>
      <c r="GH11" s="328"/>
      <c r="GI11" s="328"/>
      <c r="GJ11" s="328"/>
      <c r="GK11" s="328"/>
      <c r="GL11" s="328"/>
      <c r="GM11" s="328"/>
      <c r="GN11" s="328"/>
      <c r="GO11" s="328"/>
      <c r="GP11" s="328"/>
      <c r="GQ11" s="328"/>
      <c r="GR11" s="328"/>
      <c r="GS11" s="328"/>
      <c r="GT11" s="328"/>
      <c r="GU11" s="328"/>
      <c r="GV11" s="328"/>
      <c r="GW11" s="328"/>
      <c r="GX11" s="328"/>
      <c r="GY11" s="328"/>
      <c r="GZ11" s="328"/>
      <c r="HA11" s="328"/>
      <c r="HB11" s="328"/>
      <c r="HC11" s="328"/>
      <c r="HD11" s="328"/>
      <c r="HE11" s="328"/>
      <c r="HF11" s="328"/>
      <c r="HG11" s="328"/>
      <c r="HH11" s="328"/>
      <c r="HI11" s="328"/>
      <c r="HJ11" s="328"/>
      <c r="HK11" s="328"/>
      <c r="HL11" s="328"/>
      <c r="HM11" s="328"/>
      <c r="HN11" s="328"/>
      <c r="HO11" s="328"/>
      <c r="HP11" s="328"/>
      <c r="HQ11" s="328"/>
      <c r="HR11" s="328"/>
      <c r="HS11" s="328"/>
      <c r="HT11" s="328"/>
      <c r="HU11" s="328"/>
      <c r="HV11" s="328"/>
      <c r="HW11" s="328"/>
      <c r="HX11" s="328"/>
      <c r="HY11" s="328"/>
      <c r="HZ11" s="328"/>
      <c r="IA11" s="328"/>
      <c r="IB11" s="328"/>
      <c r="IC11" s="328"/>
      <c r="ID11" s="328"/>
      <c r="IE11" s="328"/>
      <c r="IF11" s="328"/>
      <c r="IG11" s="328"/>
      <c r="IH11" s="328"/>
      <c r="II11" s="328"/>
      <c r="IJ11" s="328"/>
      <c r="IK11" s="328"/>
      <c r="IL11" s="328"/>
      <c r="IM11" s="328"/>
      <c r="IN11" s="328"/>
    </row>
    <row r="12" spans="1:248" customFormat="1" ht="14.45" customHeight="1">
      <c r="A12" s="346" t="s">
        <v>100</v>
      </c>
      <c r="B12" s="338">
        <v>24138</v>
      </c>
      <c r="C12" s="338">
        <v>29251</v>
      </c>
      <c r="D12" s="340">
        <f t="shared" si="2"/>
        <v>21.182368050376997</v>
      </c>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8"/>
      <c r="BQ12" s="328"/>
      <c r="BR12" s="328"/>
      <c r="BS12" s="328"/>
      <c r="BT12" s="328"/>
      <c r="BU12" s="328"/>
      <c r="BV12" s="328"/>
      <c r="BW12" s="328"/>
      <c r="BX12" s="328"/>
      <c r="BY12" s="328"/>
      <c r="BZ12" s="328"/>
      <c r="CA12" s="328"/>
      <c r="CB12" s="328"/>
      <c r="CC12" s="328"/>
      <c r="CD12" s="328"/>
      <c r="CE12" s="328"/>
      <c r="CF12" s="328"/>
      <c r="CG12" s="328"/>
      <c r="CH12" s="328"/>
      <c r="CI12" s="328"/>
      <c r="CJ12" s="328"/>
      <c r="CK12" s="328"/>
      <c r="CL12" s="328"/>
      <c r="CM12" s="328"/>
      <c r="CN12" s="328"/>
      <c r="CO12" s="328"/>
      <c r="CP12" s="328"/>
      <c r="CQ12" s="328"/>
      <c r="CR12" s="328"/>
      <c r="CS12" s="328"/>
      <c r="CT12" s="328"/>
      <c r="CU12" s="328"/>
      <c r="CV12" s="328"/>
      <c r="CW12" s="328"/>
      <c r="CX12" s="328"/>
      <c r="CY12" s="328"/>
      <c r="CZ12" s="328"/>
      <c r="DA12" s="328"/>
      <c r="DB12" s="328"/>
      <c r="DC12" s="328"/>
      <c r="DD12" s="328"/>
      <c r="DE12" s="328"/>
      <c r="DF12" s="328"/>
      <c r="DG12" s="328"/>
      <c r="DH12" s="328"/>
      <c r="DI12" s="328"/>
      <c r="DJ12" s="328"/>
      <c r="DK12" s="328"/>
      <c r="DL12" s="328"/>
      <c r="DM12" s="328"/>
      <c r="DN12" s="328"/>
      <c r="DO12" s="328"/>
      <c r="DP12" s="328"/>
      <c r="DQ12" s="328"/>
      <c r="DR12" s="328"/>
      <c r="DS12" s="328"/>
      <c r="DT12" s="328"/>
      <c r="DU12" s="328"/>
      <c r="DV12" s="328"/>
      <c r="DW12" s="328"/>
      <c r="DX12" s="328"/>
      <c r="DY12" s="328"/>
      <c r="DZ12" s="328"/>
      <c r="EA12" s="328"/>
      <c r="EB12" s="328"/>
      <c r="EC12" s="328"/>
      <c r="ED12" s="328"/>
      <c r="EE12" s="328"/>
      <c r="EF12" s="328"/>
      <c r="EG12" s="328"/>
      <c r="EH12" s="328"/>
      <c r="EI12" s="328"/>
      <c r="EJ12" s="328"/>
      <c r="EK12" s="328"/>
      <c r="EL12" s="328"/>
      <c r="EM12" s="328"/>
      <c r="EN12" s="328"/>
      <c r="EO12" s="328"/>
      <c r="EP12" s="328"/>
      <c r="EQ12" s="328"/>
      <c r="ER12" s="328"/>
      <c r="ES12" s="328"/>
      <c r="ET12" s="328"/>
      <c r="EU12" s="328"/>
      <c r="EV12" s="328"/>
      <c r="EW12" s="328"/>
      <c r="EX12" s="328"/>
      <c r="EY12" s="328"/>
      <c r="EZ12" s="328"/>
      <c r="FA12" s="328"/>
      <c r="FB12" s="328"/>
      <c r="FC12" s="328"/>
      <c r="FD12" s="328"/>
      <c r="FE12" s="328"/>
      <c r="FF12" s="328"/>
      <c r="FG12" s="328"/>
      <c r="FH12" s="328"/>
      <c r="FI12" s="328"/>
      <c r="FJ12" s="328"/>
      <c r="FK12" s="328"/>
      <c r="FL12" s="328"/>
      <c r="FM12" s="328"/>
      <c r="FN12" s="328"/>
      <c r="FO12" s="328"/>
      <c r="FP12" s="328"/>
      <c r="FQ12" s="328"/>
      <c r="FR12" s="328"/>
      <c r="FS12" s="328"/>
      <c r="FT12" s="328"/>
      <c r="FU12" s="328"/>
      <c r="FV12" s="328"/>
      <c r="FW12" s="328"/>
      <c r="FX12" s="328"/>
      <c r="FY12" s="328"/>
      <c r="FZ12" s="328"/>
      <c r="GA12" s="328"/>
      <c r="GB12" s="328"/>
      <c r="GC12" s="328"/>
      <c r="GD12" s="328"/>
      <c r="GE12" s="328"/>
      <c r="GF12" s="328"/>
      <c r="GG12" s="328"/>
      <c r="GH12" s="328"/>
      <c r="GI12" s="328"/>
      <c r="GJ12" s="328"/>
      <c r="GK12" s="328"/>
      <c r="GL12" s="328"/>
      <c r="GM12" s="328"/>
      <c r="GN12" s="328"/>
      <c r="GO12" s="328"/>
      <c r="GP12" s="328"/>
      <c r="GQ12" s="328"/>
      <c r="GR12" s="328"/>
      <c r="GS12" s="328"/>
      <c r="GT12" s="328"/>
      <c r="GU12" s="328"/>
      <c r="GV12" s="328"/>
      <c r="GW12" s="328"/>
      <c r="GX12" s="328"/>
      <c r="GY12" s="328"/>
      <c r="GZ12" s="328"/>
      <c r="HA12" s="328"/>
      <c r="HB12" s="328"/>
      <c r="HC12" s="328"/>
      <c r="HD12" s="328"/>
      <c r="HE12" s="328"/>
      <c r="HF12" s="328"/>
      <c r="HG12" s="328"/>
      <c r="HH12" s="328"/>
      <c r="HI12" s="328"/>
      <c r="HJ12" s="328"/>
      <c r="HK12" s="328"/>
      <c r="HL12" s="328"/>
      <c r="HM12" s="328"/>
      <c r="HN12" s="328"/>
      <c r="HO12" s="328"/>
      <c r="HP12" s="328"/>
      <c r="HQ12" s="328"/>
      <c r="HR12" s="328"/>
      <c r="HS12" s="328"/>
      <c r="HT12" s="328"/>
      <c r="HU12" s="328"/>
      <c r="HV12" s="328"/>
      <c r="HW12" s="328"/>
      <c r="HX12" s="328"/>
      <c r="HY12" s="328"/>
      <c r="HZ12" s="328"/>
      <c r="IA12" s="328"/>
      <c r="IB12" s="328"/>
      <c r="IC12" s="328"/>
      <c r="ID12" s="328"/>
      <c r="IE12" s="328"/>
      <c r="IF12" s="328"/>
      <c r="IG12" s="328"/>
      <c r="IH12" s="328"/>
      <c r="II12" s="328"/>
      <c r="IJ12" s="328"/>
      <c r="IK12" s="328"/>
      <c r="IL12" s="328"/>
      <c r="IM12" s="328"/>
      <c r="IN12" s="328"/>
    </row>
    <row r="13" spans="1:248" customFormat="1" ht="14.45" customHeight="1">
      <c r="A13" s="346" t="s">
        <v>101</v>
      </c>
      <c r="B13" s="338">
        <v>7094</v>
      </c>
      <c r="C13" s="338">
        <v>8385</v>
      </c>
      <c r="D13" s="340">
        <f t="shared" si="2"/>
        <v>18.198477586692981</v>
      </c>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8"/>
      <c r="BK13" s="328"/>
      <c r="BL13" s="328"/>
      <c r="BM13" s="328"/>
      <c r="BN13" s="328"/>
      <c r="BO13" s="328"/>
      <c r="BP13" s="328"/>
      <c r="BQ13" s="328"/>
      <c r="BR13" s="328"/>
      <c r="BS13" s="328"/>
      <c r="BT13" s="328"/>
      <c r="BU13" s="328"/>
      <c r="BV13" s="328"/>
      <c r="BW13" s="328"/>
      <c r="BX13" s="328"/>
      <c r="BY13" s="328"/>
      <c r="BZ13" s="328"/>
      <c r="CA13" s="328"/>
      <c r="CB13" s="328"/>
      <c r="CC13" s="328"/>
      <c r="CD13" s="328"/>
      <c r="CE13" s="328"/>
      <c r="CF13" s="328"/>
      <c r="CG13" s="328"/>
      <c r="CH13" s="328"/>
      <c r="CI13" s="328"/>
      <c r="CJ13" s="328"/>
      <c r="CK13" s="328"/>
      <c r="CL13" s="328"/>
      <c r="CM13" s="328"/>
      <c r="CN13" s="328"/>
      <c r="CO13" s="328"/>
      <c r="CP13" s="328"/>
      <c r="CQ13" s="328"/>
      <c r="CR13" s="328"/>
      <c r="CS13" s="328"/>
      <c r="CT13" s="328"/>
      <c r="CU13" s="328"/>
      <c r="CV13" s="328"/>
      <c r="CW13" s="328"/>
      <c r="CX13" s="328"/>
      <c r="CY13" s="328"/>
      <c r="CZ13" s="328"/>
      <c r="DA13" s="328"/>
      <c r="DB13" s="328"/>
      <c r="DC13" s="328"/>
      <c r="DD13" s="328"/>
      <c r="DE13" s="328"/>
      <c r="DF13" s="328"/>
      <c r="DG13" s="328"/>
      <c r="DH13" s="328"/>
      <c r="DI13" s="328"/>
      <c r="DJ13" s="328"/>
      <c r="DK13" s="328"/>
      <c r="DL13" s="328"/>
      <c r="DM13" s="328"/>
      <c r="DN13" s="328"/>
      <c r="DO13" s="328"/>
      <c r="DP13" s="328"/>
      <c r="DQ13" s="328"/>
      <c r="DR13" s="328"/>
      <c r="DS13" s="328"/>
      <c r="DT13" s="328"/>
      <c r="DU13" s="328"/>
      <c r="DV13" s="328"/>
      <c r="DW13" s="328"/>
      <c r="DX13" s="328"/>
      <c r="DY13" s="328"/>
      <c r="DZ13" s="328"/>
      <c r="EA13" s="328"/>
      <c r="EB13" s="328"/>
      <c r="EC13" s="328"/>
      <c r="ED13" s="328"/>
      <c r="EE13" s="328"/>
      <c r="EF13" s="328"/>
      <c r="EG13" s="328"/>
      <c r="EH13" s="328"/>
      <c r="EI13" s="328"/>
      <c r="EJ13" s="328"/>
      <c r="EK13" s="328"/>
      <c r="EL13" s="328"/>
      <c r="EM13" s="328"/>
      <c r="EN13" s="328"/>
      <c r="EO13" s="328"/>
      <c r="EP13" s="328"/>
      <c r="EQ13" s="328"/>
      <c r="ER13" s="328"/>
      <c r="ES13" s="328"/>
      <c r="ET13" s="328"/>
      <c r="EU13" s="328"/>
      <c r="EV13" s="328"/>
      <c r="EW13" s="328"/>
      <c r="EX13" s="328"/>
      <c r="EY13" s="328"/>
      <c r="EZ13" s="328"/>
      <c r="FA13" s="328"/>
      <c r="FB13" s="328"/>
      <c r="FC13" s="328"/>
      <c r="FD13" s="328"/>
      <c r="FE13" s="328"/>
      <c r="FF13" s="328"/>
      <c r="FG13" s="328"/>
      <c r="FH13" s="328"/>
      <c r="FI13" s="328"/>
      <c r="FJ13" s="328"/>
      <c r="FK13" s="328"/>
      <c r="FL13" s="328"/>
      <c r="FM13" s="328"/>
      <c r="FN13" s="328"/>
      <c r="FO13" s="328"/>
      <c r="FP13" s="328"/>
      <c r="FQ13" s="328"/>
      <c r="FR13" s="328"/>
      <c r="FS13" s="328"/>
      <c r="FT13" s="328"/>
      <c r="FU13" s="328"/>
      <c r="FV13" s="328"/>
      <c r="FW13" s="328"/>
      <c r="FX13" s="328"/>
      <c r="FY13" s="328"/>
      <c r="FZ13" s="328"/>
      <c r="GA13" s="328"/>
      <c r="GB13" s="328"/>
      <c r="GC13" s="328"/>
      <c r="GD13" s="328"/>
      <c r="GE13" s="328"/>
      <c r="GF13" s="328"/>
      <c r="GG13" s="328"/>
      <c r="GH13" s="328"/>
      <c r="GI13" s="328"/>
      <c r="GJ13" s="328"/>
      <c r="GK13" s="328"/>
      <c r="GL13" s="328"/>
      <c r="GM13" s="328"/>
      <c r="GN13" s="328"/>
      <c r="GO13" s="328"/>
      <c r="GP13" s="328"/>
      <c r="GQ13" s="328"/>
      <c r="GR13" s="328"/>
      <c r="GS13" s="328"/>
      <c r="GT13" s="328"/>
      <c r="GU13" s="328"/>
      <c r="GV13" s="328"/>
      <c r="GW13" s="328"/>
      <c r="GX13" s="328"/>
      <c r="GY13" s="328"/>
      <c r="GZ13" s="328"/>
      <c r="HA13" s="328"/>
      <c r="HB13" s="328"/>
      <c r="HC13" s="328"/>
      <c r="HD13" s="328"/>
      <c r="HE13" s="328"/>
      <c r="HF13" s="328"/>
      <c r="HG13" s="328"/>
      <c r="HH13" s="328"/>
      <c r="HI13" s="328"/>
      <c r="HJ13" s="328"/>
      <c r="HK13" s="328"/>
      <c r="HL13" s="328"/>
      <c r="HM13" s="328"/>
      <c r="HN13" s="328"/>
      <c r="HO13" s="328"/>
      <c r="HP13" s="328"/>
      <c r="HQ13" s="328"/>
      <c r="HR13" s="328"/>
      <c r="HS13" s="328"/>
      <c r="HT13" s="328"/>
      <c r="HU13" s="328"/>
      <c r="HV13" s="328"/>
      <c r="HW13" s="328"/>
      <c r="HX13" s="328"/>
      <c r="HY13" s="328"/>
      <c r="HZ13" s="328"/>
      <c r="IA13" s="328"/>
      <c r="IB13" s="328"/>
      <c r="IC13" s="328"/>
      <c r="ID13" s="328"/>
      <c r="IE13" s="328"/>
      <c r="IF13" s="328"/>
      <c r="IG13" s="328"/>
      <c r="IH13" s="328"/>
      <c r="II13" s="328"/>
      <c r="IJ13" s="328"/>
      <c r="IK13" s="328"/>
      <c r="IL13" s="328"/>
      <c r="IM13" s="328"/>
      <c r="IN13" s="328"/>
    </row>
    <row r="14" spans="1:248" customFormat="1" ht="14.45" customHeight="1">
      <c r="A14" s="346" t="s">
        <v>102</v>
      </c>
      <c r="B14" s="338">
        <v>31499</v>
      </c>
      <c r="C14" s="338">
        <v>36877</v>
      </c>
      <c r="D14" s="340">
        <f t="shared" si="2"/>
        <v>17.07355789072669</v>
      </c>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328"/>
      <c r="BG14" s="328"/>
      <c r="BH14" s="328"/>
      <c r="BI14" s="328"/>
      <c r="BJ14" s="328"/>
      <c r="BK14" s="328"/>
      <c r="BL14" s="328"/>
      <c r="BM14" s="328"/>
      <c r="BN14" s="328"/>
      <c r="BO14" s="328"/>
      <c r="BP14" s="328"/>
      <c r="BQ14" s="328"/>
      <c r="BR14" s="328"/>
      <c r="BS14" s="328"/>
      <c r="BT14" s="328"/>
      <c r="BU14" s="328"/>
      <c r="BV14" s="328"/>
      <c r="BW14" s="328"/>
      <c r="BX14" s="328"/>
      <c r="BY14" s="328"/>
      <c r="BZ14" s="328"/>
      <c r="CA14" s="328"/>
      <c r="CB14" s="328"/>
      <c r="CC14" s="328"/>
      <c r="CD14" s="328"/>
      <c r="CE14" s="328"/>
      <c r="CF14" s="328"/>
      <c r="CG14" s="328"/>
      <c r="CH14" s="328"/>
      <c r="CI14" s="328"/>
      <c r="CJ14" s="328"/>
      <c r="CK14" s="328"/>
      <c r="CL14" s="328"/>
      <c r="CM14" s="328"/>
      <c r="CN14" s="328"/>
      <c r="CO14" s="328"/>
      <c r="CP14" s="328"/>
      <c r="CQ14" s="328"/>
      <c r="CR14" s="328"/>
      <c r="CS14" s="328"/>
      <c r="CT14" s="328"/>
      <c r="CU14" s="328"/>
      <c r="CV14" s="328"/>
      <c r="CW14" s="328"/>
      <c r="CX14" s="328"/>
      <c r="CY14" s="328"/>
      <c r="CZ14" s="328"/>
      <c r="DA14" s="328"/>
      <c r="DB14" s="328"/>
      <c r="DC14" s="328"/>
      <c r="DD14" s="328"/>
      <c r="DE14" s="328"/>
      <c r="DF14" s="328"/>
      <c r="DG14" s="328"/>
      <c r="DH14" s="328"/>
      <c r="DI14" s="328"/>
      <c r="DJ14" s="328"/>
      <c r="DK14" s="328"/>
      <c r="DL14" s="328"/>
      <c r="DM14" s="328"/>
      <c r="DN14" s="328"/>
      <c r="DO14" s="328"/>
      <c r="DP14" s="328"/>
      <c r="DQ14" s="328"/>
      <c r="DR14" s="328"/>
      <c r="DS14" s="328"/>
      <c r="DT14" s="328"/>
      <c r="DU14" s="328"/>
      <c r="DV14" s="328"/>
      <c r="DW14" s="328"/>
      <c r="DX14" s="328"/>
      <c r="DY14" s="328"/>
      <c r="DZ14" s="328"/>
      <c r="EA14" s="328"/>
      <c r="EB14" s="328"/>
      <c r="EC14" s="328"/>
      <c r="ED14" s="328"/>
      <c r="EE14" s="328"/>
      <c r="EF14" s="328"/>
      <c r="EG14" s="328"/>
      <c r="EH14" s="328"/>
      <c r="EI14" s="328"/>
      <c r="EJ14" s="328"/>
      <c r="EK14" s="328"/>
      <c r="EL14" s="328"/>
      <c r="EM14" s="328"/>
      <c r="EN14" s="328"/>
      <c r="EO14" s="328"/>
      <c r="EP14" s="328"/>
      <c r="EQ14" s="328"/>
      <c r="ER14" s="328"/>
      <c r="ES14" s="328"/>
      <c r="ET14" s="328"/>
      <c r="EU14" s="328"/>
      <c r="EV14" s="328"/>
      <c r="EW14" s="328"/>
      <c r="EX14" s="328"/>
      <c r="EY14" s="328"/>
      <c r="EZ14" s="328"/>
      <c r="FA14" s="328"/>
      <c r="FB14" s="328"/>
      <c r="FC14" s="328"/>
      <c r="FD14" s="328"/>
      <c r="FE14" s="328"/>
      <c r="FF14" s="328"/>
      <c r="FG14" s="328"/>
      <c r="FH14" s="328"/>
      <c r="FI14" s="328"/>
      <c r="FJ14" s="328"/>
      <c r="FK14" s="328"/>
      <c r="FL14" s="328"/>
      <c r="FM14" s="328"/>
      <c r="FN14" s="328"/>
      <c r="FO14" s="328"/>
      <c r="FP14" s="328"/>
      <c r="FQ14" s="328"/>
      <c r="FR14" s="328"/>
      <c r="FS14" s="328"/>
      <c r="FT14" s="328"/>
      <c r="FU14" s="328"/>
      <c r="FV14" s="328"/>
      <c r="FW14" s="328"/>
      <c r="FX14" s="328"/>
      <c r="FY14" s="328"/>
      <c r="FZ14" s="328"/>
      <c r="GA14" s="328"/>
      <c r="GB14" s="328"/>
      <c r="GC14" s="328"/>
      <c r="GD14" s="328"/>
      <c r="GE14" s="328"/>
      <c r="GF14" s="328"/>
      <c r="GG14" s="328"/>
      <c r="GH14" s="328"/>
      <c r="GI14" s="328"/>
      <c r="GJ14" s="328"/>
      <c r="GK14" s="328"/>
      <c r="GL14" s="328"/>
      <c r="GM14" s="328"/>
      <c r="GN14" s="328"/>
      <c r="GO14" s="328"/>
      <c r="GP14" s="328"/>
      <c r="GQ14" s="328"/>
      <c r="GR14" s="328"/>
      <c r="GS14" s="328"/>
      <c r="GT14" s="328"/>
      <c r="GU14" s="328"/>
      <c r="GV14" s="328"/>
      <c r="GW14" s="328"/>
      <c r="GX14" s="328"/>
      <c r="GY14" s="328"/>
      <c r="GZ14" s="328"/>
      <c r="HA14" s="328"/>
      <c r="HB14" s="328"/>
      <c r="HC14" s="328"/>
      <c r="HD14" s="328"/>
      <c r="HE14" s="328"/>
      <c r="HF14" s="328"/>
      <c r="HG14" s="328"/>
      <c r="HH14" s="328"/>
      <c r="HI14" s="328"/>
      <c r="HJ14" s="328"/>
      <c r="HK14" s="328"/>
      <c r="HL14" s="328"/>
      <c r="HM14" s="328"/>
      <c r="HN14" s="328"/>
      <c r="HO14" s="328"/>
      <c r="HP14" s="328"/>
      <c r="HQ14" s="328"/>
      <c r="HR14" s="328"/>
      <c r="HS14" s="328"/>
      <c r="HT14" s="328"/>
      <c r="HU14" s="328"/>
      <c r="HV14" s="328"/>
      <c r="HW14" s="328"/>
      <c r="HX14" s="328"/>
      <c r="HY14" s="328"/>
      <c r="HZ14" s="328"/>
      <c r="IA14" s="328"/>
      <c r="IB14" s="328"/>
      <c r="IC14" s="328"/>
      <c r="ID14" s="328"/>
      <c r="IE14" s="328"/>
      <c r="IF14" s="328"/>
      <c r="IG14" s="328"/>
      <c r="IH14" s="328"/>
      <c r="II14" s="328"/>
      <c r="IJ14" s="328"/>
      <c r="IK14" s="328"/>
      <c r="IL14" s="328"/>
      <c r="IM14" s="328"/>
      <c r="IN14" s="328"/>
    </row>
    <row r="15" spans="1:248" customFormat="1" ht="14.45" customHeight="1">
      <c r="A15" s="346" t="s">
        <v>103</v>
      </c>
      <c r="B15" s="338">
        <v>40223</v>
      </c>
      <c r="C15" s="338">
        <v>51457</v>
      </c>
      <c r="D15" s="340">
        <f t="shared" si="2"/>
        <v>27.929294184919073</v>
      </c>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8"/>
      <c r="BK15" s="328"/>
      <c r="BL15" s="328"/>
      <c r="BM15" s="328"/>
      <c r="BN15" s="328"/>
      <c r="BO15" s="328"/>
      <c r="BP15" s="328"/>
      <c r="BQ15" s="328"/>
      <c r="BR15" s="328"/>
      <c r="BS15" s="328"/>
      <c r="BT15" s="328"/>
      <c r="BU15" s="328"/>
      <c r="BV15" s="328"/>
      <c r="BW15" s="328"/>
      <c r="BX15" s="328"/>
      <c r="BY15" s="328"/>
      <c r="BZ15" s="328"/>
      <c r="CA15" s="328"/>
      <c r="CB15" s="328"/>
      <c r="CC15" s="328"/>
      <c r="CD15" s="328"/>
      <c r="CE15" s="328"/>
      <c r="CF15" s="328"/>
      <c r="CG15" s="328"/>
      <c r="CH15" s="328"/>
      <c r="CI15" s="328"/>
      <c r="CJ15" s="328"/>
      <c r="CK15" s="328"/>
      <c r="CL15" s="328"/>
      <c r="CM15" s="328"/>
      <c r="CN15" s="328"/>
      <c r="CO15" s="328"/>
      <c r="CP15" s="328"/>
      <c r="CQ15" s="328"/>
      <c r="CR15" s="328"/>
      <c r="CS15" s="328"/>
      <c r="CT15" s="328"/>
      <c r="CU15" s="328"/>
      <c r="CV15" s="328"/>
      <c r="CW15" s="328"/>
      <c r="CX15" s="328"/>
      <c r="CY15" s="328"/>
      <c r="CZ15" s="328"/>
      <c r="DA15" s="328"/>
      <c r="DB15" s="328"/>
      <c r="DC15" s="328"/>
      <c r="DD15" s="328"/>
      <c r="DE15" s="328"/>
      <c r="DF15" s="328"/>
      <c r="DG15" s="328"/>
      <c r="DH15" s="328"/>
      <c r="DI15" s="328"/>
      <c r="DJ15" s="328"/>
      <c r="DK15" s="328"/>
      <c r="DL15" s="328"/>
      <c r="DM15" s="328"/>
      <c r="DN15" s="328"/>
      <c r="DO15" s="328"/>
      <c r="DP15" s="328"/>
      <c r="DQ15" s="328"/>
      <c r="DR15" s="328"/>
      <c r="DS15" s="328"/>
      <c r="DT15" s="328"/>
      <c r="DU15" s="328"/>
      <c r="DV15" s="328"/>
      <c r="DW15" s="328"/>
      <c r="DX15" s="328"/>
      <c r="DY15" s="328"/>
      <c r="DZ15" s="328"/>
      <c r="EA15" s="328"/>
      <c r="EB15" s="328"/>
      <c r="EC15" s="328"/>
      <c r="ED15" s="328"/>
      <c r="EE15" s="328"/>
      <c r="EF15" s="328"/>
      <c r="EG15" s="328"/>
      <c r="EH15" s="328"/>
      <c r="EI15" s="328"/>
      <c r="EJ15" s="328"/>
      <c r="EK15" s="328"/>
      <c r="EL15" s="328"/>
      <c r="EM15" s="328"/>
      <c r="EN15" s="328"/>
      <c r="EO15" s="328"/>
      <c r="EP15" s="328"/>
      <c r="EQ15" s="328"/>
      <c r="ER15" s="328"/>
      <c r="ES15" s="328"/>
      <c r="ET15" s="328"/>
      <c r="EU15" s="328"/>
      <c r="EV15" s="328"/>
      <c r="EW15" s="328"/>
      <c r="EX15" s="328"/>
      <c r="EY15" s="328"/>
      <c r="EZ15" s="328"/>
      <c r="FA15" s="328"/>
      <c r="FB15" s="328"/>
      <c r="FC15" s="328"/>
      <c r="FD15" s="328"/>
      <c r="FE15" s="328"/>
      <c r="FF15" s="328"/>
      <c r="FG15" s="328"/>
      <c r="FH15" s="328"/>
      <c r="FI15" s="328"/>
      <c r="FJ15" s="328"/>
      <c r="FK15" s="328"/>
      <c r="FL15" s="328"/>
      <c r="FM15" s="328"/>
      <c r="FN15" s="328"/>
      <c r="FO15" s="328"/>
      <c r="FP15" s="328"/>
      <c r="FQ15" s="328"/>
      <c r="FR15" s="328"/>
      <c r="FS15" s="328"/>
      <c r="FT15" s="328"/>
      <c r="FU15" s="328"/>
      <c r="FV15" s="328"/>
      <c r="FW15" s="328"/>
      <c r="FX15" s="328"/>
      <c r="FY15" s="328"/>
      <c r="FZ15" s="328"/>
      <c r="GA15" s="328"/>
      <c r="GB15" s="328"/>
      <c r="GC15" s="328"/>
      <c r="GD15" s="328"/>
      <c r="GE15" s="328"/>
      <c r="GF15" s="328"/>
      <c r="GG15" s="328"/>
      <c r="GH15" s="328"/>
      <c r="GI15" s="328"/>
      <c r="GJ15" s="328"/>
      <c r="GK15" s="328"/>
      <c r="GL15" s="328"/>
      <c r="GM15" s="328"/>
      <c r="GN15" s="328"/>
      <c r="GO15" s="328"/>
      <c r="GP15" s="328"/>
      <c r="GQ15" s="328"/>
      <c r="GR15" s="328"/>
      <c r="GS15" s="328"/>
      <c r="GT15" s="328"/>
      <c r="GU15" s="328"/>
      <c r="GV15" s="328"/>
      <c r="GW15" s="328"/>
      <c r="GX15" s="328"/>
      <c r="GY15" s="328"/>
      <c r="GZ15" s="328"/>
      <c r="HA15" s="328"/>
      <c r="HB15" s="328"/>
      <c r="HC15" s="328"/>
      <c r="HD15" s="328"/>
      <c r="HE15" s="328"/>
      <c r="HF15" s="328"/>
      <c r="HG15" s="328"/>
      <c r="HH15" s="328"/>
      <c r="HI15" s="328"/>
      <c r="HJ15" s="328"/>
      <c r="HK15" s="328"/>
      <c r="HL15" s="328"/>
      <c r="HM15" s="328"/>
      <c r="HN15" s="328"/>
      <c r="HO15" s="328"/>
      <c r="HP15" s="328"/>
      <c r="HQ15" s="328"/>
      <c r="HR15" s="328"/>
      <c r="HS15" s="328"/>
      <c r="HT15" s="328"/>
      <c r="HU15" s="328"/>
      <c r="HV15" s="328"/>
      <c r="HW15" s="328"/>
      <c r="HX15" s="328"/>
      <c r="HY15" s="328"/>
      <c r="HZ15" s="328"/>
      <c r="IA15" s="328"/>
      <c r="IB15" s="328"/>
      <c r="IC15" s="328"/>
      <c r="ID15" s="328"/>
      <c r="IE15" s="328"/>
      <c r="IF15" s="328"/>
      <c r="IG15" s="328"/>
      <c r="IH15" s="328"/>
      <c r="II15" s="328"/>
      <c r="IJ15" s="328"/>
      <c r="IK15" s="328"/>
      <c r="IL15" s="328"/>
      <c r="IM15" s="328"/>
      <c r="IN15" s="328"/>
    </row>
    <row r="16" spans="1:248" customFormat="1" ht="14.45" customHeight="1">
      <c r="A16" s="346" t="s">
        <v>104</v>
      </c>
      <c r="B16" s="338">
        <v>11177</v>
      </c>
      <c r="C16" s="338">
        <v>12759</v>
      </c>
      <c r="D16" s="340">
        <f t="shared" si="2"/>
        <v>14.15406638632907</v>
      </c>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328"/>
      <c r="AU16" s="328"/>
      <c r="AV16" s="328"/>
      <c r="AW16" s="328"/>
      <c r="AX16" s="328"/>
      <c r="AY16" s="328"/>
      <c r="AZ16" s="328"/>
      <c r="BA16" s="328"/>
      <c r="BB16" s="328"/>
      <c r="BC16" s="328"/>
      <c r="BD16" s="328"/>
      <c r="BE16" s="328"/>
      <c r="BF16" s="328"/>
      <c r="BG16" s="328"/>
      <c r="BH16" s="328"/>
      <c r="BI16" s="328"/>
      <c r="BJ16" s="328"/>
      <c r="BK16" s="328"/>
      <c r="BL16" s="328"/>
      <c r="BM16" s="328"/>
      <c r="BN16" s="328"/>
      <c r="BO16" s="328"/>
      <c r="BP16" s="328"/>
      <c r="BQ16" s="328"/>
      <c r="BR16" s="328"/>
      <c r="BS16" s="328"/>
      <c r="BT16" s="328"/>
      <c r="BU16" s="328"/>
      <c r="BV16" s="328"/>
      <c r="BW16" s="328"/>
      <c r="BX16" s="328"/>
      <c r="BY16" s="328"/>
      <c r="BZ16" s="328"/>
      <c r="CA16" s="328"/>
      <c r="CB16" s="328"/>
      <c r="CC16" s="328"/>
      <c r="CD16" s="328"/>
      <c r="CE16" s="328"/>
      <c r="CF16" s="328"/>
      <c r="CG16" s="328"/>
      <c r="CH16" s="328"/>
      <c r="CI16" s="328"/>
      <c r="CJ16" s="328"/>
      <c r="CK16" s="328"/>
      <c r="CL16" s="328"/>
      <c r="CM16" s="328"/>
      <c r="CN16" s="328"/>
      <c r="CO16" s="328"/>
      <c r="CP16" s="328"/>
      <c r="CQ16" s="328"/>
      <c r="CR16" s="328"/>
      <c r="CS16" s="328"/>
      <c r="CT16" s="328"/>
      <c r="CU16" s="328"/>
      <c r="CV16" s="328"/>
      <c r="CW16" s="328"/>
      <c r="CX16" s="328"/>
      <c r="CY16" s="328"/>
      <c r="CZ16" s="328"/>
      <c r="DA16" s="328"/>
      <c r="DB16" s="328"/>
      <c r="DC16" s="328"/>
      <c r="DD16" s="328"/>
      <c r="DE16" s="328"/>
      <c r="DF16" s="328"/>
      <c r="DG16" s="328"/>
      <c r="DH16" s="328"/>
      <c r="DI16" s="328"/>
      <c r="DJ16" s="328"/>
      <c r="DK16" s="328"/>
      <c r="DL16" s="328"/>
      <c r="DM16" s="328"/>
      <c r="DN16" s="328"/>
      <c r="DO16" s="328"/>
      <c r="DP16" s="328"/>
      <c r="DQ16" s="328"/>
      <c r="DR16" s="328"/>
      <c r="DS16" s="328"/>
      <c r="DT16" s="328"/>
      <c r="DU16" s="328"/>
      <c r="DV16" s="328"/>
      <c r="DW16" s="328"/>
      <c r="DX16" s="328"/>
      <c r="DY16" s="328"/>
      <c r="DZ16" s="328"/>
      <c r="EA16" s="328"/>
      <c r="EB16" s="328"/>
      <c r="EC16" s="328"/>
      <c r="ED16" s="328"/>
      <c r="EE16" s="328"/>
      <c r="EF16" s="328"/>
      <c r="EG16" s="328"/>
      <c r="EH16" s="328"/>
      <c r="EI16" s="328"/>
      <c r="EJ16" s="328"/>
      <c r="EK16" s="328"/>
      <c r="EL16" s="328"/>
      <c r="EM16" s="328"/>
      <c r="EN16" s="328"/>
      <c r="EO16" s="328"/>
      <c r="EP16" s="328"/>
      <c r="EQ16" s="328"/>
      <c r="ER16" s="328"/>
      <c r="ES16" s="328"/>
      <c r="ET16" s="328"/>
      <c r="EU16" s="328"/>
      <c r="EV16" s="328"/>
      <c r="EW16" s="328"/>
      <c r="EX16" s="328"/>
      <c r="EY16" s="328"/>
      <c r="EZ16" s="328"/>
      <c r="FA16" s="328"/>
      <c r="FB16" s="328"/>
      <c r="FC16" s="328"/>
      <c r="FD16" s="328"/>
      <c r="FE16" s="328"/>
      <c r="FF16" s="328"/>
      <c r="FG16" s="328"/>
      <c r="FH16" s="328"/>
      <c r="FI16" s="328"/>
      <c r="FJ16" s="328"/>
      <c r="FK16" s="328"/>
      <c r="FL16" s="328"/>
      <c r="FM16" s="328"/>
      <c r="FN16" s="328"/>
      <c r="FO16" s="328"/>
      <c r="FP16" s="328"/>
      <c r="FQ16" s="328"/>
      <c r="FR16" s="328"/>
      <c r="FS16" s="328"/>
      <c r="FT16" s="328"/>
      <c r="FU16" s="328"/>
      <c r="FV16" s="328"/>
      <c r="FW16" s="328"/>
      <c r="FX16" s="328"/>
      <c r="FY16" s="328"/>
      <c r="FZ16" s="328"/>
      <c r="GA16" s="328"/>
      <c r="GB16" s="328"/>
      <c r="GC16" s="328"/>
      <c r="GD16" s="328"/>
      <c r="GE16" s="328"/>
      <c r="GF16" s="328"/>
      <c r="GG16" s="328"/>
      <c r="GH16" s="328"/>
      <c r="GI16" s="328"/>
      <c r="GJ16" s="328"/>
      <c r="GK16" s="328"/>
      <c r="GL16" s="328"/>
      <c r="GM16" s="328"/>
      <c r="GN16" s="328"/>
      <c r="GO16" s="328"/>
      <c r="GP16" s="328"/>
      <c r="GQ16" s="328"/>
      <c r="GR16" s="328"/>
      <c r="GS16" s="328"/>
      <c r="GT16" s="328"/>
      <c r="GU16" s="328"/>
      <c r="GV16" s="328"/>
      <c r="GW16" s="328"/>
      <c r="GX16" s="328"/>
      <c r="GY16" s="328"/>
      <c r="GZ16" s="328"/>
      <c r="HA16" s="328"/>
      <c r="HB16" s="328"/>
      <c r="HC16" s="328"/>
      <c r="HD16" s="328"/>
      <c r="HE16" s="328"/>
      <c r="HF16" s="328"/>
      <c r="HG16" s="328"/>
      <c r="HH16" s="328"/>
      <c r="HI16" s="328"/>
      <c r="HJ16" s="328"/>
      <c r="HK16" s="328"/>
      <c r="HL16" s="328"/>
      <c r="HM16" s="328"/>
      <c r="HN16" s="328"/>
      <c r="HO16" s="328"/>
      <c r="HP16" s="328"/>
      <c r="HQ16" s="328"/>
      <c r="HR16" s="328"/>
      <c r="HS16" s="328"/>
      <c r="HT16" s="328"/>
      <c r="HU16" s="328"/>
      <c r="HV16" s="328"/>
      <c r="HW16" s="328"/>
      <c r="HX16" s="328"/>
      <c r="HY16" s="328"/>
      <c r="HZ16" s="328"/>
      <c r="IA16" s="328"/>
      <c r="IB16" s="328"/>
      <c r="IC16" s="328"/>
      <c r="ID16" s="328"/>
      <c r="IE16" s="328"/>
      <c r="IF16" s="328"/>
      <c r="IG16" s="328"/>
      <c r="IH16" s="328"/>
      <c r="II16" s="328"/>
      <c r="IJ16" s="328"/>
      <c r="IK16" s="328"/>
      <c r="IL16" s="328"/>
      <c r="IM16" s="328"/>
      <c r="IN16" s="328"/>
    </row>
    <row r="17" spans="1:248" customFormat="1" ht="14.45" customHeight="1">
      <c r="A17" s="346" t="s">
        <v>105</v>
      </c>
      <c r="B17" s="338">
        <v>25684</v>
      </c>
      <c r="C17" s="338">
        <v>32298</v>
      </c>
      <c r="D17" s="340">
        <f t="shared" si="2"/>
        <v>25.751440585578571</v>
      </c>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R17" s="328"/>
      <c r="AS17" s="328"/>
      <c r="AT17" s="328"/>
      <c r="AU17" s="328"/>
      <c r="AV17" s="328"/>
      <c r="AW17" s="328"/>
      <c r="AX17" s="328"/>
      <c r="AY17" s="328"/>
      <c r="AZ17" s="328"/>
      <c r="BA17" s="328"/>
      <c r="BB17" s="328"/>
      <c r="BC17" s="328"/>
      <c r="BD17" s="328"/>
      <c r="BE17" s="328"/>
      <c r="BF17" s="328"/>
      <c r="BG17" s="328"/>
      <c r="BH17" s="328"/>
      <c r="BI17" s="328"/>
      <c r="BJ17" s="328"/>
      <c r="BK17" s="328"/>
      <c r="BL17" s="328"/>
      <c r="BM17" s="328"/>
      <c r="BN17" s="328"/>
      <c r="BO17" s="328"/>
      <c r="BP17" s="328"/>
      <c r="BQ17" s="328"/>
      <c r="BR17" s="328"/>
      <c r="BS17" s="328"/>
      <c r="BT17" s="328"/>
      <c r="BU17" s="328"/>
      <c r="BV17" s="328"/>
      <c r="BW17" s="328"/>
      <c r="BX17" s="328"/>
      <c r="BY17" s="328"/>
      <c r="BZ17" s="328"/>
      <c r="CA17" s="328"/>
      <c r="CB17" s="328"/>
      <c r="CC17" s="328"/>
      <c r="CD17" s="328"/>
      <c r="CE17" s="328"/>
      <c r="CF17" s="328"/>
      <c r="CG17" s="328"/>
      <c r="CH17" s="328"/>
      <c r="CI17" s="328"/>
      <c r="CJ17" s="328"/>
      <c r="CK17" s="328"/>
      <c r="CL17" s="328"/>
      <c r="CM17" s="328"/>
      <c r="CN17" s="328"/>
      <c r="CO17" s="328"/>
      <c r="CP17" s="328"/>
      <c r="CQ17" s="328"/>
      <c r="CR17" s="328"/>
      <c r="CS17" s="328"/>
      <c r="CT17" s="328"/>
      <c r="CU17" s="328"/>
      <c r="CV17" s="328"/>
      <c r="CW17" s="328"/>
      <c r="CX17" s="328"/>
      <c r="CY17" s="328"/>
      <c r="CZ17" s="328"/>
      <c r="DA17" s="328"/>
      <c r="DB17" s="328"/>
      <c r="DC17" s="328"/>
      <c r="DD17" s="328"/>
      <c r="DE17" s="328"/>
      <c r="DF17" s="328"/>
      <c r="DG17" s="328"/>
      <c r="DH17" s="328"/>
      <c r="DI17" s="328"/>
      <c r="DJ17" s="328"/>
      <c r="DK17" s="328"/>
      <c r="DL17" s="328"/>
      <c r="DM17" s="328"/>
      <c r="DN17" s="328"/>
      <c r="DO17" s="328"/>
      <c r="DP17" s="328"/>
      <c r="DQ17" s="328"/>
      <c r="DR17" s="328"/>
      <c r="DS17" s="328"/>
      <c r="DT17" s="328"/>
      <c r="DU17" s="328"/>
      <c r="DV17" s="328"/>
      <c r="DW17" s="328"/>
      <c r="DX17" s="328"/>
      <c r="DY17" s="328"/>
      <c r="DZ17" s="328"/>
      <c r="EA17" s="328"/>
      <c r="EB17" s="328"/>
      <c r="EC17" s="328"/>
      <c r="ED17" s="328"/>
      <c r="EE17" s="328"/>
      <c r="EF17" s="328"/>
      <c r="EG17" s="328"/>
      <c r="EH17" s="328"/>
      <c r="EI17" s="328"/>
      <c r="EJ17" s="328"/>
      <c r="EK17" s="328"/>
      <c r="EL17" s="328"/>
      <c r="EM17" s="328"/>
      <c r="EN17" s="328"/>
      <c r="EO17" s="328"/>
      <c r="EP17" s="328"/>
      <c r="EQ17" s="328"/>
      <c r="ER17" s="328"/>
      <c r="ES17" s="328"/>
      <c r="ET17" s="328"/>
      <c r="EU17" s="328"/>
      <c r="EV17" s="328"/>
      <c r="EW17" s="328"/>
      <c r="EX17" s="328"/>
      <c r="EY17" s="328"/>
      <c r="EZ17" s="328"/>
      <c r="FA17" s="328"/>
      <c r="FB17" s="328"/>
      <c r="FC17" s="328"/>
      <c r="FD17" s="328"/>
      <c r="FE17" s="328"/>
      <c r="FF17" s="328"/>
      <c r="FG17" s="328"/>
      <c r="FH17" s="328"/>
      <c r="FI17" s="328"/>
      <c r="FJ17" s="328"/>
      <c r="FK17" s="328"/>
      <c r="FL17" s="328"/>
      <c r="FM17" s="328"/>
      <c r="FN17" s="328"/>
      <c r="FO17" s="328"/>
      <c r="FP17" s="328"/>
      <c r="FQ17" s="328"/>
      <c r="FR17" s="328"/>
      <c r="FS17" s="328"/>
      <c r="FT17" s="328"/>
      <c r="FU17" s="328"/>
      <c r="FV17" s="328"/>
      <c r="FW17" s="328"/>
      <c r="FX17" s="328"/>
      <c r="FY17" s="328"/>
      <c r="FZ17" s="328"/>
      <c r="GA17" s="328"/>
      <c r="GB17" s="328"/>
      <c r="GC17" s="328"/>
      <c r="GD17" s="328"/>
      <c r="GE17" s="328"/>
      <c r="GF17" s="328"/>
      <c r="GG17" s="328"/>
      <c r="GH17" s="328"/>
      <c r="GI17" s="328"/>
      <c r="GJ17" s="328"/>
      <c r="GK17" s="328"/>
      <c r="GL17" s="328"/>
      <c r="GM17" s="328"/>
      <c r="GN17" s="328"/>
      <c r="GO17" s="328"/>
      <c r="GP17" s="328"/>
      <c r="GQ17" s="328"/>
      <c r="GR17" s="328"/>
      <c r="GS17" s="328"/>
      <c r="GT17" s="328"/>
      <c r="GU17" s="328"/>
      <c r="GV17" s="328"/>
      <c r="GW17" s="328"/>
      <c r="GX17" s="328"/>
      <c r="GY17" s="328"/>
      <c r="GZ17" s="328"/>
      <c r="HA17" s="328"/>
      <c r="HB17" s="328"/>
      <c r="HC17" s="328"/>
      <c r="HD17" s="328"/>
      <c r="HE17" s="328"/>
      <c r="HF17" s="328"/>
      <c r="HG17" s="328"/>
      <c r="HH17" s="328"/>
      <c r="HI17" s="328"/>
      <c r="HJ17" s="328"/>
      <c r="HK17" s="328"/>
      <c r="HL17" s="328"/>
      <c r="HM17" s="328"/>
      <c r="HN17" s="328"/>
      <c r="HO17" s="328"/>
      <c r="HP17" s="328"/>
      <c r="HQ17" s="328"/>
      <c r="HR17" s="328"/>
      <c r="HS17" s="328"/>
      <c r="HT17" s="328"/>
      <c r="HU17" s="328"/>
      <c r="HV17" s="328"/>
      <c r="HW17" s="328"/>
      <c r="HX17" s="328"/>
      <c r="HY17" s="328"/>
      <c r="HZ17" s="328"/>
      <c r="IA17" s="328"/>
      <c r="IB17" s="328"/>
      <c r="IC17" s="328"/>
      <c r="ID17" s="328"/>
      <c r="IE17" s="328"/>
      <c r="IF17" s="328"/>
      <c r="IG17" s="328"/>
      <c r="IH17" s="328"/>
      <c r="II17" s="328"/>
      <c r="IJ17" s="328"/>
      <c r="IK17" s="328"/>
      <c r="IL17" s="328"/>
      <c r="IM17" s="328"/>
      <c r="IN17" s="328"/>
    </row>
    <row r="18" spans="1:248" customFormat="1" ht="14.45" customHeight="1">
      <c r="A18" s="346" t="s">
        <v>106</v>
      </c>
      <c r="B18" s="338">
        <v>57509</v>
      </c>
      <c r="C18" s="338">
        <v>75418</v>
      </c>
      <c r="D18" s="340">
        <f t="shared" si="2"/>
        <v>31.141212679754471</v>
      </c>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c r="BV18" s="328"/>
      <c r="BW18" s="328"/>
      <c r="BX18" s="328"/>
      <c r="BY18" s="328"/>
      <c r="BZ18" s="328"/>
      <c r="CA18" s="328"/>
      <c r="CB18" s="328"/>
      <c r="CC18" s="328"/>
      <c r="CD18" s="328"/>
      <c r="CE18" s="328"/>
      <c r="CF18" s="328"/>
      <c r="CG18" s="328"/>
      <c r="CH18" s="328"/>
      <c r="CI18" s="328"/>
      <c r="CJ18" s="328"/>
      <c r="CK18" s="328"/>
      <c r="CL18" s="328"/>
      <c r="CM18" s="328"/>
      <c r="CN18" s="328"/>
      <c r="CO18" s="328"/>
      <c r="CP18" s="328"/>
      <c r="CQ18" s="328"/>
      <c r="CR18" s="328"/>
      <c r="CS18" s="328"/>
      <c r="CT18" s="328"/>
      <c r="CU18" s="328"/>
      <c r="CV18" s="328"/>
      <c r="CW18" s="328"/>
      <c r="CX18" s="328"/>
      <c r="CY18" s="328"/>
      <c r="CZ18" s="328"/>
      <c r="DA18" s="328"/>
      <c r="DB18" s="328"/>
      <c r="DC18" s="328"/>
      <c r="DD18" s="328"/>
      <c r="DE18" s="328"/>
      <c r="DF18" s="328"/>
      <c r="DG18" s="328"/>
      <c r="DH18" s="328"/>
      <c r="DI18" s="328"/>
      <c r="DJ18" s="328"/>
      <c r="DK18" s="328"/>
      <c r="DL18" s="328"/>
      <c r="DM18" s="328"/>
      <c r="DN18" s="328"/>
      <c r="DO18" s="328"/>
      <c r="DP18" s="328"/>
      <c r="DQ18" s="328"/>
      <c r="DR18" s="328"/>
      <c r="DS18" s="328"/>
      <c r="DT18" s="328"/>
      <c r="DU18" s="328"/>
      <c r="DV18" s="328"/>
      <c r="DW18" s="328"/>
      <c r="DX18" s="328"/>
      <c r="DY18" s="328"/>
      <c r="DZ18" s="328"/>
      <c r="EA18" s="328"/>
      <c r="EB18" s="328"/>
      <c r="EC18" s="328"/>
      <c r="ED18" s="328"/>
      <c r="EE18" s="328"/>
      <c r="EF18" s="328"/>
      <c r="EG18" s="328"/>
      <c r="EH18" s="328"/>
      <c r="EI18" s="328"/>
      <c r="EJ18" s="328"/>
      <c r="EK18" s="328"/>
      <c r="EL18" s="328"/>
      <c r="EM18" s="328"/>
      <c r="EN18" s="328"/>
      <c r="EO18" s="328"/>
      <c r="EP18" s="328"/>
      <c r="EQ18" s="328"/>
      <c r="ER18" s="328"/>
      <c r="ES18" s="328"/>
      <c r="ET18" s="328"/>
      <c r="EU18" s="328"/>
      <c r="EV18" s="328"/>
      <c r="EW18" s="328"/>
      <c r="EX18" s="328"/>
      <c r="EY18" s="328"/>
      <c r="EZ18" s="328"/>
      <c r="FA18" s="328"/>
      <c r="FB18" s="328"/>
      <c r="FC18" s="328"/>
      <c r="FD18" s="328"/>
      <c r="FE18" s="328"/>
      <c r="FF18" s="328"/>
      <c r="FG18" s="328"/>
      <c r="FH18" s="328"/>
      <c r="FI18" s="328"/>
      <c r="FJ18" s="328"/>
      <c r="FK18" s="328"/>
      <c r="FL18" s="328"/>
      <c r="FM18" s="328"/>
      <c r="FN18" s="328"/>
      <c r="FO18" s="328"/>
      <c r="FP18" s="328"/>
      <c r="FQ18" s="328"/>
      <c r="FR18" s="328"/>
      <c r="FS18" s="328"/>
      <c r="FT18" s="328"/>
      <c r="FU18" s="328"/>
      <c r="FV18" s="328"/>
      <c r="FW18" s="328"/>
      <c r="FX18" s="328"/>
      <c r="FY18" s="328"/>
      <c r="FZ18" s="328"/>
      <c r="GA18" s="328"/>
      <c r="GB18" s="328"/>
      <c r="GC18" s="328"/>
      <c r="GD18" s="328"/>
      <c r="GE18" s="328"/>
      <c r="GF18" s="328"/>
      <c r="GG18" s="328"/>
      <c r="GH18" s="328"/>
      <c r="GI18" s="328"/>
      <c r="GJ18" s="328"/>
      <c r="GK18" s="328"/>
      <c r="GL18" s="328"/>
      <c r="GM18" s="328"/>
      <c r="GN18" s="328"/>
      <c r="GO18" s="328"/>
      <c r="GP18" s="328"/>
      <c r="GQ18" s="328"/>
      <c r="GR18" s="328"/>
      <c r="GS18" s="328"/>
      <c r="GT18" s="328"/>
      <c r="GU18" s="328"/>
      <c r="GV18" s="328"/>
      <c r="GW18" s="328"/>
      <c r="GX18" s="328"/>
      <c r="GY18" s="328"/>
      <c r="GZ18" s="328"/>
      <c r="HA18" s="328"/>
      <c r="HB18" s="328"/>
      <c r="HC18" s="328"/>
      <c r="HD18" s="328"/>
      <c r="HE18" s="328"/>
      <c r="HF18" s="328"/>
      <c r="HG18" s="328"/>
      <c r="HH18" s="328"/>
      <c r="HI18" s="328"/>
      <c r="HJ18" s="328"/>
      <c r="HK18" s="328"/>
      <c r="HL18" s="328"/>
      <c r="HM18" s="328"/>
      <c r="HN18" s="328"/>
      <c r="HO18" s="328"/>
      <c r="HP18" s="328"/>
      <c r="HQ18" s="328"/>
      <c r="HR18" s="328"/>
      <c r="HS18" s="328"/>
      <c r="HT18" s="328"/>
      <c r="HU18" s="328"/>
      <c r="HV18" s="328"/>
      <c r="HW18" s="328"/>
      <c r="HX18" s="328"/>
      <c r="HY18" s="328"/>
      <c r="HZ18" s="328"/>
      <c r="IA18" s="328"/>
      <c r="IB18" s="328"/>
      <c r="IC18" s="328"/>
      <c r="ID18" s="328"/>
      <c r="IE18" s="328"/>
      <c r="IF18" s="328"/>
      <c r="IG18" s="328"/>
      <c r="IH18" s="328"/>
      <c r="II18" s="328"/>
      <c r="IJ18" s="328"/>
      <c r="IK18" s="328"/>
      <c r="IL18" s="328"/>
      <c r="IM18" s="328"/>
      <c r="IN18" s="328"/>
    </row>
    <row r="19" spans="1:248" customFormat="1" ht="14.45" customHeight="1">
      <c r="A19" s="346" t="s">
        <v>107</v>
      </c>
      <c r="B19" s="338">
        <v>973</v>
      </c>
      <c r="C19" s="339">
        <v>1200</v>
      </c>
      <c r="D19" s="340">
        <f t="shared" si="2"/>
        <v>23.329907502569373</v>
      </c>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8"/>
      <c r="BK19" s="328"/>
      <c r="BL19" s="328"/>
      <c r="BM19" s="328"/>
      <c r="BN19" s="328"/>
      <c r="BO19" s="328"/>
      <c r="BP19" s="328"/>
      <c r="BQ19" s="328"/>
      <c r="BR19" s="328"/>
      <c r="BS19" s="328"/>
      <c r="BT19" s="328"/>
      <c r="BU19" s="328"/>
      <c r="BV19" s="328"/>
      <c r="BW19" s="328"/>
      <c r="BX19" s="328"/>
      <c r="BY19" s="328"/>
      <c r="BZ19" s="328"/>
      <c r="CA19" s="328"/>
      <c r="CB19" s="328"/>
      <c r="CC19" s="328"/>
      <c r="CD19" s="328"/>
      <c r="CE19" s="328"/>
      <c r="CF19" s="328"/>
      <c r="CG19" s="328"/>
      <c r="CH19" s="328"/>
      <c r="CI19" s="328"/>
      <c r="CJ19" s="328"/>
      <c r="CK19" s="328"/>
      <c r="CL19" s="328"/>
      <c r="CM19" s="328"/>
      <c r="CN19" s="328"/>
      <c r="CO19" s="328"/>
      <c r="CP19" s="328"/>
      <c r="CQ19" s="328"/>
      <c r="CR19" s="328"/>
      <c r="CS19" s="328"/>
      <c r="CT19" s="328"/>
      <c r="CU19" s="328"/>
      <c r="CV19" s="328"/>
      <c r="CW19" s="328"/>
      <c r="CX19" s="328"/>
      <c r="CY19" s="328"/>
      <c r="CZ19" s="328"/>
      <c r="DA19" s="328"/>
      <c r="DB19" s="328"/>
      <c r="DC19" s="328"/>
      <c r="DD19" s="328"/>
      <c r="DE19" s="328"/>
      <c r="DF19" s="328"/>
      <c r="DG19" s="328"/>
      <c r="DH19" s="328"/>
      <c r="DI19" s="328"/>
      <c r="DJ19" s="328"/>
      <c r="DK19" s="328"/>
      <c r="DL19" s="328"/>
      <c r="DM19" s="328"/>
      <c r="DN19" s="328"/>
      <c r="DO19" s="328"/>
      <c r="DP19" s="328"/>
      <c r="DQ19" s="328"/>
      <c r="DR19" s="328"/>
      <c r="DS19" s="328"/>
      <c r="DT19" s="328"/>
      <c r="DU19" s="328"/>
      <c r="DV19" s="328"/>
      <c r="DW19" s="328"/>
      <c r="DX19" s="328"/>
      <c r="DY19" s="328"/>
      <c r="DZ19" s="328"/>
      <c r="EA19" s="328"/>
      <c r="EB19" s="328"/>
      <c r="EC19" s="328"/>
      <c r="ED19" s="328"/>
      <c r="EE19" s="328"/>
      <c r="EF19" s="328"/>
      <c r="EG19" s="328"/>
      <c r="EH19" s="328"/>
      <c r="EI19" s="328"/>
      <c r="EJ19" s="328"/>
      <c r="EK19" s="328"/>
      <c r="EL19" s="328"/>
      <c r="EM19" s="328"/>
      <c r="EN19" s="328"/>
      <c r="EO19" s="328"/>
      <c r="EP19" s="328"/>
      <c r="EQ19" s="328"/>
      <c r="ER19" s="328"/>
      <c r="ES19" s="328"/>
      <c r="ET19" s="328"/>
      <c r="EU19" s="328"/>
      <c r="EV19" s="328"/>
      <c r="EW19" s="328"/>
      <c r="EX19" s="328"/>
      <c r="EY19" s="328"/>
      <c r="EZ19" s="328"/>
      <c r="FA19" s="328"/>
      <c r="FB19" s="328"/>
      <c r="FC19" s="328"/>
      <c r="FD19" s="328"/>
      <c r="FE19" s="328"/>
      <c r="FF19" s="328"/>
      <c r="FG19" s="328"/>
      <c r="FH19" s="328"/>
      <c r="FI19" s="328"/>
      <c r="FJ19" s="328"/>
      <c r="FK19" s="328"/>
      <c r="FL19" s="328"/>
      <c r="FM19" s="328"/>
      <c r="FN19" s="328"/>
      <c r="FO19" s="328"/>
      <c r="FP19" s="328"/>
      <c r="FQ19" s="328"/>
      <c r="FR19" s="328"/>
      <c r="FS19" s="328"/>
      <c r="FT19" s="328"/>
      <c r="FU19" s="328"/>
      <c r="FV19" s="328"/>
      <c r="FW19" s="328"/>
      <c r="FX19" s="328"/>
      <c r="FY19" s="328"/>
      <c r="FZ19" s="328"/>
      <c r="GA19" s="328"/>
      <c r="GB19" s="328"/>
      <c r="GC19" s="328"/>
      <c r="GD19" s="328"/>
      <c r="GE19" s="328"/>
      <c r="GF19" s="328"/>
      <c r="GG19" s="328"/>
      <c r="GH19" s="328"/>
      <c r="GI19" s="328"/>
      <c r="GJ19" s="328"/>
      <c r="GK19" s="328"/>
      <c r="GL19" s="328"/>
      <c r="GM19" s="328"/>
      <c r="GN19" s="328"/>
      <c r="GO19" s="328"/>
      <c r="GP19" s="328"/>
      <c r="GQ19" s="328"/>
      <c r="GR19" s="328"/>
      <c r="GS19" s="328"/>
      <c r="GT19" s="328"/>
      <c r="GU19" s="328"/>
      <c r="GV19" s="328"/>
      <c r="GW19" s="328"/>
      <c r="GX19" s="328"/>
      <c r="GY19" s="328"/>
      <c r="GZ19" s="328"/>
      <c r="HA19" s="328"/>
      <c r="HB19" s="328"/>
      <c r="HC19" s="328"/>
      <c r="HD19" s="328"/>
      <c r="HE19" s="328"/>
      <c r="HF19" s="328"/>
      <c r="HG19" s="328"/>
      <c r="HH19" s="328"/>
      <c r="HI19" s="328"/>
      <c r="HJ19" s="328"/>
      <c r="HK19" s="328"/>
      <c r="HL19" s="328"/>
      <c r="HM19" s="328"/>
      <c r="HN19" s="328"/>
      <c r="HO19" s="328"/>
      <c r="HP19" s="328"/>
      <c r="HQ19" s="328"/>
      <c r="HR19" s="328"/>
      <c r="HS19" s="328"/>
      <c r="HT19" s="328"/>
      <c r="HU19" s="328"/>
      <c r="HV19" s="328"/>
      <c r="HW19" s="328"/>
      <c r="HX19" s="328"/>
      <c r="HY19" s="328"/>
      <c r="HZ19" s="328"/>
      <c r="IA19" s="328"/>
      <c r="IB19" s="328"/>
      <c r="IC19" s="328"/>
      <c r="ID19" s="328"/>
      <c r="IE19" s="328"/>
      <c r="IF19" s="328"/>
      <c r="IG19" s="328"/>
      <c r="IH19" s="328"/>
      <c r="II19" s="328"/>
      <c r="IJ19" s="328"/>
      <c r="IK19" s="328"/>
      <c r="IL19" s="328"/>
      <c r="IM19" s="328"/>
      <c r="IN19" s="328"/>
    </row>
    <row r="20" spans="1:248" customFormat="1" ht="14.45" customHeight="1">
      <c r="A20" s="346" t="s">
        <v>108</v>
      </c>
      <c r="B20" s="338">
        <f>SUM(B21:B28)</f>
        <v>225624</v>
      </c>
      <c r="C20" s="339">
        <f>SUM(C21:C28)</f>
        <v>190566</v>
      </c>
      <c r="D20" s="340">
        <f t="shared" ref="D20:D23" si="3">(C20-B20)/B20*100</f>
        <v>-15.538240612700777</v>
      </c>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c r="BP20" s="328"/>
      <c r="BQ20" s="328"/>
      <c r="BR20" s="328"/>
      <c r="BS20" s="328"/>
      <c r="BT20" s="328"/>
      <c r="BU20" s="328"/>
      <c r="BV20" s="328"/>
      <c r="BW20" s="328"/>
      <c r="BX20" s="328"/>
      <c r="BY20" s="328"/>
      <c r="BZ20" s="328"/>
      <c r="CA20" s="328"/>
      <c r="CB20" s="328"/>
      <c r="CC20" s="328"/>
      <c r="CD20" s="328"/>
      <c r="CE20" s="328"/>
      <c r="CF20" s="328"/>
      <c r="CG20" s="328"/>
      <c r="CH20" s="328"/>
      <c r="CI20" s="328"/>
      <c r="CJ20" s="328"/>
      <c r="CK20" s="328"/>
      <c r="CL20" s="328"/>
      <c r="CM20" s="328"/>
      <c r="CN20" s="328"/>
      <c r="CO20" s="328"/>
      <c r="CP20" s="328"/>
      <c r="CQ20" s="328"/>
      <c r="CR20" s="328"/>
      <c r="CS20" s="328"/>
      <c r="CT20" s="328"/>
      <c r="CU20" s="328"/>
      <c r="CV20" s="328"/>
      <c r="CW20" s="328"/>
      <c r="CX20" s="328"/>
      <c r="CY20" s="328"/>
      <c r="CZ20" s="328"/>
      <c r="DA20" s="328"/>
      <c r="DB20" s="328"/>
      <c r="DC20" s="328"/>
      <c r="DD20" s="328"/>
      <c r="DE20" s="328"/>
      <c r="DF20" s="328"/>
      <c r="DG20" s="328"/>
      <c r="DH20" s="328"/>
      <c r="DI20" s="328"/>
      <c r="DJ20" s="328"/>
      <c r="DK20" s="328"/>
      <c r="DL20" s="328"/>
      <c r="DM20" s="328"/>
      <c r="DN20" s="328"/>
      <c r="DO20" s="328"/>
      <c r="DP20" s="328"/>
      <c r="DQ20" s="328"/>
      <c r="DR20" s="328"/>
      <c r="DS20" s="328"/>
      <c r="DT20" s="328"/>
      <c r="DU20" s="328"/>
      <c r="DV20" s="328"/>
      <c r="DW20" s="328"/>
      <c r="DX20" s="328"/>
      <c r="DY20" s="328"/>
      <c r="DZ20" s="328"/>
      <c r="EA20" s="328"/>
      <c r="EB20" s="328"/>
      <c r="EC20" s="328"/>
      <c r="ED20" s="328"/>
      <c r="EE20" s="328"/>
      <c r="EF20" s="328"/>
      <c r="EG20" s="328"/>
      <c r="EH20" s="328"/>
      <c r="EI20" s="328"/>
      <c r="EJ20" s="328"/>
      <c r="EK20" s="328"/>
      <c r="EL20" s="328"/>
      <c r="EM20" s="328"/>
      <c r="EN20" s="328"/>
      <c r="EO20" s="328"/>
      <c r="EP20" s="328"/>
      <c r="EQ20" s="328"/>
      <c r="ER20" s="328"/>
      <c r="ES20" s="328"/>
      <c r="ET20" s="328"/>
      <c r="EU20" s="328"/>
      <c r="EV20" s="328"/>
      <c r="EW20" s="328"/>
      <c r="EX20" s="328"/>
      <c r="EY20" s="328"/>
      <c r="EZ20" s="328"/>
      <c r="FA20" s="328"/>
      <c r="FB20" s="328"/>
      <c r="FC20" s="328"/>
      <c r="FD20" s="328"/>
      <c r="FE20" s="328"/>
      <c r="FF20" s="328"/>
      <c r="FG20" s="328"/>
      <c r="FH20" s="328"/>
      <c r="FI20" s="328"/>
      <c r="FJ20" s="328"/>
      <c r="FK20" s="328"/>
      <c r="FL20" s="328"/>
      <c r="FM20" s="328"/>
      <c r="FN20" s="328"/>
      <c r="FO20" s="328"/>
      <c r="FP20" s="328"/>
      <c r="FQ20" s="328"/>
      <c r="FR20" s="328"/>
      <c r="FS20" s="328"/>
      <c r="FT20" s="328"/>
      <c r="FU20" s="328"/>
      <c r="FV20" s="328"/>
      <c r="FW20" s="328"/>
      <c r="FX20" s="328"/>
      <c r="FY20" s="328"/>
      <c r="FZ20" s="328"/>
      <c r="GA20" s="328"/>
      <c r="GB20" s="328"/>
      <c r="GC20" s="328"/>
      <c r="GD20" s="328"/>
      <c r="GE20" s="328"/>
      <c r="GF20" s="328"/>
      <c r="GG20" s="328"/>
      <c r="GH20" s="328"/>
      <c r="GI20" s="328"/>
      <c r="GJ20" s="328"/>
      <c r="GK20" s="328"/>
      <c r="GL20" s="328"/>
      <c r="GM20" s="328"/>
      <c r="GN20" s="328"/>
      <c r="GO20" s="328"/>
      <c r="GP20" s="328"/>
      <c r="GQ20" s="328"/>
      <c r="GR20" s="328"/>
      <c r="GS20" s="328"/>
      <c r="GT20" s="328"/>
      <c r="GU20" s="328"/>
      <c r="GV20" s="328"/>
      <c r="GW20" s="328"/>
      <c r="GX20" s="328"/>
      <c r="GY20" s="328"/>
      <c r="GZ20" s="328"/>
      <c r="HA20" s="328"/>
      <c r="HB20" s="328"/>
      <c r="HC20" s="328"/>
      <c r="HD20" s="328"/>
      <c r="HE20" s="328"/>
      <c r="HF20" s="328"/>
      <c r="HG20" s="328"/>
      <c r="HH20" s="328"/>
      <c r="HI20" s="328"/>
      <c r="HJ20" s="328"/>
      <c r="HK20" s="328"/>
      <c r="HL20" s="328"/>
      <c r="HM20" s="328"/>
      <c r="HN20" s="328"/>
      <c r="HO20" s="328"/>
      <c r="HP20" s="328"/>
      <c r="HQ20" s="328"/>
      <c r="HR20" s="328"/>
      <c r="HS20" s="328"/>
      <c r="HT20" s="328"/>
      <c r="HU20" s="328"/>
      <c r="HV20" s="328"/>
      <c r="HW20" s="328"/>
      <c r="HX20" s="328"/>
      <c r="HY20" s="328"/>
      <c r="HZ20" s="328"/>
      <c r="IA20" s="328"/>
      <c r="IB20" s="328"/>
      <c r="IC20" s="328"/>
      <c r="ID20" s="328"/>
      <c r="IE20" s="328"/>
      <c r="IF20" s="328"/>
      <c r="IG20" s="328"/>
      <c r="IH20" s="328"/>
      <c r="II20" s="328"/>
      <c r="IJ20" s="328"/>
      <c r="IK20" s="328"/>
      <c r="IL20" s="328"/>
      <c r="IM20" s="328"/>
      <c r="IN20" s="328"/>
    </row>
    <row r="21" spans="1:248" customFormat="1" ht="14.45" customHeight="1">
      <c r="A21" s="346" t="s">
        <v>109</v>
      </c>
      <c r="B21" s="338">
        <v>52988</v>
      </c>
      <c r="C21" s="338">
        <v>44358</v>
      </c>
      <c r="D21" s="340">
        <f t="shared" si="3"/>
        <v>-16.286706424096025</v>
      </c>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8"/>
      <c r="BA21" s="328"/>
      <c r="BB21" s="328"/>
      <c r="BC21" s="328"/>
      <c r="BD21" s="328"/>
      <c r="BE21" s="328"/>
      <c r="BF21" s="328"/>
      <c r="BG21" s="328"/>
      <c r="BH21" s="328"/>
      <c r="BI21" s="328"/>
      <c r="BJ21" s="328"/>
      <c r="BK21" s="328"/>
      <c r="BL21" s="328"/>
      <c r="BM21" s="328"/>
      <c r="BN21" s="328"/>
      <c r="BO21" s="328"/>
      <c r="BP21" s="328"/>
      <c r="BQ21" s="328"/>
      <c r="BR21" s="328"/>
      <c r="BS21" s="328"/>
      <c r="BT21" s="328"/>
      <c r="BU21" s="328"/>
      <c r="BV21" s="328"/>
      <c r="BW21" s="328"/>
      <c r="BX21" s="328"/>
      <c r="BY21" s="328"/>
      <c r="BZ21" s="328"/>
      <c r="CA21" s="328"/>
      <c r="CB21" s="328"/>
      <c r="CC21" s="328"/>
      <c r="CD21" s="328"/>
      <c r="CE21" s="328"/>
      <c r="CF21" s="328"/>
      <c r="CG21" s="328"/>
      <c r="CH21" s="328"/>
      <c r="CI21" s="328"/>
      <c r="CJ21" s="328"/>
      <c r="CK21" s="328"/>
      <c r="CL21" s="328"/>
      <c r="CM21" s="328"/>
      <c r="CN21" s="328"/>
      <c r="CO21" s="328"/>
      <c r="CP21" s="328"/>
      <c r="CQ21" s="328"/>
      <c r="CR21" s="328"/>
      <c r="CS21" s="328"/>
      <c r="CT21" s="328"/>
      <c r="CU21" s="328"/>
      <c r="CV21" s="328"/>
      <c r="CW21" s="328"/>
      <c r="CX21" s="328"/>
      <c r="CY21" s="328"/>
      <c r="CZ21" s="328"/>
      <c r="DA21" s="328"/>
      <c r="DB21" s="328"/>
      <c r="DC21" s="328"/>
      <c r="DD21" s="328"/>
      <c r="DE21" s="328"/>
      <c r="DF21" s="328"/>
      <c r="DG21" s="328"/>
      <c r="DH21" s="328"/>
      <c r="DI21" s="328"/>
      <c r="DJ21" s="328"/>
      <c r="DK21" s="328"/>
      <c r="DL21" s="328"/>
      <c r="DM21" s="328"/>
      <c r="DN21" s="328"/>
      <c r="DO21" s="328"/>
      <c r="DP21" s="328"/>
      <c r="DQ21" s="328"/>
      <c r="DR21" s="328"/>
      <c r="DS21" s="328"/>
      <c r="DT21" s="328"/>
      <c r="DU21" s="328"/>
      <c r="DV21" s="328"/>
      <c r="DW21" s="328"/>
      <c r="DX21" s="328"/>
      <c r="DY21" s="328"/>
      <c r="DZ21" s="328"/>
      <c r="EA21" s="328"/>
      <c r="EB21" s="328"/>
      <c r="EC21" s="328"/>
      <c r="ED21" s="328"/>
      <c r="EE21" s="328"/>
      <c r="EF21" s="328"/>
      <c r="EG21" s="328"/>
      <c r="EH21" s="328"/>
      <c r="EI21" s="328"/>
      <c r="EJ21" s="328"/>
      <c r="EK21" s="328"/>
      <c r="EL21" s="328"/>
      <c r="EM21" s="328"/>
      <c r="EN21" s="328"/>
      <c r="EO21" s="328"/>
      <c r="EP21" s="328"/>
      <c r="EQ21" s="328"/>
      <c r="ER21" s="328"/>
      <c r="ES21" s="328"/>
      <c r="ET21" s="328"/>
      <c r="EU21" s="328"/>
      <c r="EV21" s="328"/>
      <c r="EW21" s="328"/>
      <c r="EX21" s="328"/>
      <c r="EY21" s="328"/>
      <c r="EZ21" s="328"/>
      <c r="FA21" s="328"/>
      <c r="FB21" s="328"/>
      <c r="FC21" s="328"/>
      <c r="FD21" s="328"/>
      <c r="FE21" s="328"/>
      <c r="FF21" s="328"/>
      <c r="FG21" s="328"/>
      <c r="FH21" s="328"/>
      <c r="FI21" s="328"/>
      <c r="FJ21" s="328"/>
      <c r="FK21" s="328"/>
      <c r="FL21" s="328"/>
      <c r="FM21" s="328"/>
      <c r="FN21" s="328"/>
      <c r="FO21" s="328"/>
      <c r="FP21" s="328"/>
      <c r="FQ21" s="328"/>
      <c r="FR21" s="328"/>
      <c r="FS21" s="328"/>
      <c r="FT21" s="328"/>
      <c r="FU21" s="328"/>
      <c r="FV21" s="328"/>
      <c r="FW21" s="328"/>
      <c r="FX21" s="328"/>
      <c r="FY21" s="328"/>
      <c r="FZ21" s="328"/>
      <c r="GA21" s="328"/>
      <c r="GB21" s="328"/>
      <c r="GC21" s="328"/>
      <c r="GD21" s="328"/>
      <c r="GE21" s="328"/>
      <c r="GF21" s="328"/>
      <c r="GG21" s="328"/>
      <c r="GH21" s="328"/>
      <c r="GI21" s="328"/>
      <c r="GJ21" s="328"/>
      <c r="GK21" s="328"/>
      <c r="GL21" s="328"/>
      <c r="GM21" s="328"/>
      <c r="GN21" s="328"/>
      <c r="GO21" s="328"/>
      <c r="GP21" s="328"/>
      <c r="GQ21" s="328"/>
      <c r="GR21" s="328"/>
      <c r="GS21" s="328"/>
      <c r="GT21" s="328"/>
      <c r="GU21" s="328"/>
      <c r="GV21" s="328"/>
      <c r="GW21" s="328"/>
      <c r="GX21" s="328"/>
      <c r="GY21" s="328"/>
      <c r="GZ21" s="328"/>
      <c r="HA21" s="328"/>
      <c r="HB21" s="328"/>
      <c r="HC21" s="328"/>
      <c r="HD21" s="328"/>
      <c r="HE21" s="328"/>
      <c r="HF21" s="328"/>
      <c r="HG21" s="328"/>
      <c r="HH21" s="328"/>
      <c r="HI21" s="328"/>
      <c r="HJ21" s="328"/>
      <c r="HK21" s="328"/>
      <c r="HL21" s="328"/>
      <c r="HM21" s="328"/>
      <c r="HN21" s="328"/>
      <c r="HO21" s="328"/>
      <c r="HP21" s="328"/>
      <c r="HQ21" s="328"/>
      <c r="HR21" s="328"/>
      <c r="HS21" s="328"/>
      <c r="HT21" s="328"/>
      <c r="HU21" s="328"/>
      <c r="HV21" s="328"/>
      <c r="HW21" s="328"/>
      <c r="HX21" s="328"/>
      <c r="HY21" s="328"/>
      <c r="HZ21" s="328"/>
      <c r="IA21" s="328"/>
      <c r="IB21" s="328"/>
      <c r="IC21" s="328"/>
      <c r="ID21" s="328"/>
      <c r="IE21" s="328"/>
      <c r="IF21" s="328"/>
      <c r="IG21" s="328"/>
      <c r="IH21" s="328"/>
      <c r="II21" s="328"/>
      <c r="IJ21" s="328"/>
      <c r="IK21" s="328"/>
      <c r="IL21" s="328"/>
      <c r="IM21" s="328"/>
      <c r="IN21" s="328"/>
    </row>
    <row r="22" spans="1:248" customFormat="1" ht="14.45" customHeight="1">
      <c r="A22" s="346" t="s">
        <v>110</v>
      </c>
      <c r="B22" s="338">
        <v>35550</v>
      </c>
      <c r="C22" s="338">
        <v>45451</v>
      </c>
      <c r="D22" s="340">
        <f t="shared" si="3"/>
        <v>27.850914205344584</v>
      </c>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328"/>
      <c r="AS22" s="328"/>
      <c r="AT22" s="328"/>
      <c r="AU22" s="328"/>
      <c r="AV22" s="328"/>
      <c r="AW22" s="328"/>
      <c r="AX22" s="328"/>
      <c r="AY22" s="328"/>
      <c r="AZ22" s="328"/>
      <c r="BA22" s="328"/>
      <c r="BB22" s="328"/>
      <c r="BC22" s="328"/>
      <c r="BD22" s="328"/>
      <c r="BE22" s="328"/>
      <c r="BF22" s="328"/>
      <c r="BG22" s="328"/>
      <c r="BH22" s="328"/>
      <c r="BI22" s="328"/>
      <c r="BJ22" s="328"/>
      <c r="BK22" s="328"/>
      <c r="BL22" s="328"/>
      <c r="BM22" s="328"/>
      <c r="BN22" s="328"/>
      <c r="BO22" s="328"/>
      <c r="BP22" s="328"/>
      <c r="BQ22" s="328"/>
      <c r="BR22" s="328"/>
      <c r="BS22" s="328"/>
      <c r="BT22" s="328"/>
      <c r="BU22" s="328"/>
      <c r="BV22" s="328"/>
      <c r="BW22" s="328"/>
      <c r="BX22" s="328"/>
      <c r="BY22" s="328"/>
      <c r="BZ22" s="328"/>
      <c r="CA22" s="328"/>
      <c r="CB22" s="328"/>
      <c r="CC22" s="328"/>
      <c r="CD22" s="328"/>
      <c r="CE22" s="328"/>
      <c r="CF22" s="328"/>
      <c r="CG22" s="328"/>
      <c r="CH22" s="328"/>
      <c r="CI22" s="328"/>
      <c r="CJ22" s="328"/>
      <c r="CK22" s="328"/>
      <c r="CL22" s="328"/>
      <c r="CM22" s="328"/>
      <c r="CN22" s="328"/>
      <c r="CO22" s="328"/>
      <c r="CP22" s="328"/>
      <c r="CQ22" s="328"/>
      <c r="CR22" s="328"/>
      <c r="CS22" s="328"/>
      <c r="CT22" s="328"/>
      <c r="CU22" s="328"/>
      <c r="CV22" s="328"/>
      <c r="CW22" s="328"/>
      <c r="CX22" s="328"/>
      <c r="CY22" s="328"/>
      <c r="CZ22" s="328"/>
      <c r="DA22" s="328"/>
      <c r="DB22" s="328"/>
      <c r="DC22" s="328"/>
      <c r="DD22" s="328"/>
      <c r="DE22" s="328"/>
      <c r="DF22" s="328"/>
      <c r="DG22" s="328"/>
      <c r="DH22" s="328"/>
      <c r="DI22" s="328"/>
      <c r="DJ22" s="328"/>
      <c r="DK22" s="328"/>
      <c r="DL22" s="328"/>
      <c r="DM22" s="328"/>
      <c r="DN22" s="328"/>
      <c r="DO22" s="328"/>
      <c r="DP22" s="328"/>
      <c r="DQ22" s="328"/>
      <c r="DR22" s="328"/>
      <c r="DS22" s="328"/>
      <c r="DT22" s="328"/>
      <c r="DU22" s="328"/>
      <c r="DV22" s="328"/>
      <c r="DW22" s="328"/>
      <c r="DX22" s="328"/>
      <c r="DY22" s="328"/>
      <c r="DZ22" s="328"/>
      <c r="EA22" s="328"/>
      <c r="EB22" s="328"/>
      <c r="EC22" s="328"/>
      <c r="ED22" s="328"/>
      <c r="EE22" s="328"/>
      <c r="EF22" s="328"/>
      <c r="EG22" s="328"/>
      <c r="EH22" s="328"/>
      <c r="EI22" s="328"/>
      <c r="EJ22" s="328"/>
      <c r="EK22" s="328"/>
      <c r="EL22" s="328"/>
      <c r="EM22" s="328"/>
      <c r="EN22" s="328"/>
      <c r="EO22" s="328"/>
      <c r="EP22" s="328"/>
      <c r="EQ22" s="328"/>
      <c r="ER22" s="328"/>
      <c r="ES22" s="328"/>
      <c r="ET22" s="328"/>
      <c r="EU22" s="328"/>
      <c r="EV22" s="328"/>
      <c r="EW22" s="328"/>
      <c r="EX22" s="328"/>
      <c r="EY22" s="328"/>
      <c r="EZ22" s="328"/>
      <c r="FA22" s="328"/>
      <c r="FB22" s="328"/>
      <c r="FC22" s="328"/>
      <c r="FD22" s="328"/>
      <c r="FE22" s="328"/>
      <c r="FF22" s="328"/>
      <c r="FG22" s="328"/>
      <c r="FH22" s="328"/>
      <c r="FI22" s="328"/>
      <c r="FJ22" s="328"/>
      <c r="FK22" s="328"/>
      <c r="FL22" s="328"/>
      <c r="FM22" s="328"/>
      <c r="FN22" s="328"/>
      <c r="FO22" s="328"/>
      <c r="FP22" s="328"/>
      <c r="FQ22" s="328"/>
      <c r="FR22" s="328"/>
      <c r="FS22" s="328"/>
      <c r="FT22" s="328"/>
      <c r="FU22" s="328"/>
      <c r="FV22" s="328"/>
      <c r="FW22" s="328"/>
      <c r="FX22" s="328"/>
      <c r="FY22" s="328"/>
      <c r="FZ22" s="328"/>
      <c r="GA22" s="328"/>
      <c r="GB22" s="328"/>
      <c r="GC22" s="328"/>
      <c r="GD22" s="328"/>
      <c r="GE22" s="328"/>
      <c r="GF22" s="328"/>
      <c r="GG22" s="328"/>
      <c r="GH22" s="328"/>
      <c r="GI22" s="328"/>
      <c r="GJ22" s="328"/>
      <c r="GK22" s="328"/>
      <c r="GL22" s="328"/>
      <c r="GM22" s="328"/>
      <c r="GN22" s="328"/>
      <c r="GO22" s="328"/>
      <c r="GP22" s="328"/>
      <c r="GQ22" s="328"/>
      <c r="GR22" s="328"/>
      <c r="GS22" s="328"/>
      <c r="GT22" s="328"/>
      <c r="GU22" s="328"/>
      <c r="GV22" s="328"/>
      <c r="GW22" s="328"/>
      <c r="GX22" s="328"/>
      <c r="GY22" s="328"/>
      <c r="GZ22" s="328"/>
      <c r="HA22" s="328"/>
      <c r="HB22" s="328"/>
      <c r="HC22" s="328"/>
      <c r="HD22" s="328"/>
      <c r="HE22" s="328"/>
      <c r="HF22" s="328"/>
      <c r="HG22" s="328"/>
      <c r="HH22" s="328"/>
      <c r="HI22" s="328"/>
      <c r="HJ22" s="328"/>
      <c r="HK22" s="328"/>
      <c r="HL22" s="328"/>
      <c r="HM22" s="328"/>
      <c r="HN22" s="328"/>
      <c r="HO22" s="328"/>
      <c r="HP22" s="328"/>
      <c r="HQ22" s="328"/>
      <c r="HR22" s="328"/>
      <c r="HS22" s="328"/>
      <c r="HT22" s="328"/>
      <c r="HU22" s="328"/>
      <c r="HV22" s="328"/>
      <c r="HW22" s="328"/>
      <c r="HX22" s="328"/>
      <c r="HY22" s="328"/>
      <c r="HZ22" s="328"/>
      <c r="IA22" s="328"/>
      <c r="IB22" s="328"/>
      <c r="IC22" s="328"/>
      <c r="ID22" s="328"/>
      <c r="IE22" s="328"/>
      <c r="IF22" s="328"/>
      <c r="IG22" s="328"/>
      <c r="IH22" s="328"/>
      <c r="II22" s="328"/>
      <c r="IJ22" s="328"/>
      <c r="IK22" s="328"/>
      <c r="IL22" s="328"/>
      <c r="IM22" s="328"/>
      <c r="IN22" s="328"/>
    </row>
    <row r="23" spans="1:248" customFormat="1" ht="14.45" customHeight="1">
      <c r="A23" s="346" t="s">
        <v>111</v>
      </c>
      <c r="B23" s="338">
        <v>54875</v>
      </c>
      <c r="C23" s="338">
        <v>44562</v>
      </c>
      <c r="D23" s="340">
        <f t="shared" si="3"/>
        <v>-18.793621867881548</v>
      </c>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8"/>
      <c r="AN23" s="328"/>
      <c r="AO23" s="328"/>
      <c r="AP23" s="328"/>
      <c r="AQ23" s="328"/>
      <c r="AR23" s="328"/>
      <c r="AS23" s="328"/>
      <c r="AT23" s="328"/>
      <c r="AU23" s="328"/>
      <c r="AV23" s="328"/>
      <c r="AW23" s="328"/>
      <c r="AX23" s="328"/>
      <c r="AY23" s="328"/>
      <c r="AZ23" s="328"/>
      <c r="BA23" s="328"/>
      <c r="BB23" s="328"/>
      <c r="BC23" s="328"/>
      <c r="BD23" s="328"/>
      <c r="BE23" s="328"/>
      <c r="BF23" s="328"/>
      <c r="BG23" s="328"/>
      <c r="BH23" s="328"/>
      <c r="BI23" s="328"/>
      <c r="BJ23" s="328"/>
      <c r="BK23" s="328"/>
      <c r="BL23" s="328"/>
      <c r="BM23" s="328"/>
      <c r="BN23" s="328"/>
      <c r="BO23" s="328"/>
      <c r="BP23" s="328"/>
      <c r="BQ23" s="328"/>
      <c r="BR23" s="328"/>
      <c r="BS23" s="328"/>
      <c r="BT23" s="328"/>
      <c r="BU23" s="328"/>
      <c r="BV23" s="328"/>
      <c r="BW23" s="328"/>
      <c r="BX23" s="328"/>
      <c r="BY23" s="328"/>
      <c r="BZ23" s="328"/>
      <c r="CA23" s="328"/>
      <c r="CB23" s="328"/>
      <c r="CC23" s="328"/>
      <c r="CD23" s="328"/>
      <c r="CE23" s="328"/>
      <c r="CF23" s="328"/>
      <c r="CG23" s="328"/>
      <c r="CH23" s="328"/>
      <c r="CI23" s="328"/>
      <c r="CJ23" s="328"/>
      <c r="CK23" s="328"/>
      <c r="CL23" s="328"/>
      <c r="CM23" s="328"/>
      <c r="CN23" s="328"/>
      <c r="CO23" s="328"/>
      <c r="CP23" s="328"/>
      <c r="CQ23" s="328"/>
      <c r="CR23" s="328"/>
      <c r="CS23" s="328"/>
      <c r="CT23" s="328"/>
      <c r="CU23" s="328"/>
      <c r="CV23" s="328"/>
      <c r="CW23" s="328"/>
      <c r="CX23" s="328"/>
      <c r="CY23" s="328"/>
      <c r="CZ23" s="328"/>
      <c r="DA23" s="328"/>
      <c r="DB23" s="328"/>
      <c r="DC23" s="328"/>
      <c r="DD23" s="328"/>
      <c r="DE23" s="328"/>
      <c r="DF23" s="328"/>
      <c r="DG23" s="328"/>
      <c r="DH23" s="328"/>
      <c r="DI23" s="328"/>
      <c r="DJ23" s="328"/>
      <c r="DK23" s="328"/>
      <c r="DL23" s="328"/>
      <c r="DM23" s="328"/>
      <c r="DN23" s="328"/>
      <c r="DO23" s="328"/>
      <c r="DP23" s="328"/>
      <c r="DQ23" s="328"/>
      <c r="DR23" s="328"/>
      <c r="DS23" s="328"/>
      <c r="DT23" s="328"/>
      <c r="DU23" s="328"/>
      <c r="DV23" s="328"/>
      <c r="DW23" s="328"/>
      <c r="DX23" s="328"/>
      <c r="DY23" s="328"/>
      <c r="DZ23" s="328"/>
      <c r="EA23" s="328"/>
      <c r="EB23" s="328"/>
      <c r="EC23" s="328"/>
      <c r="ED23" s="328"/>
      <c r="EE23" s="328"/>
      <c r="EF23" s="328"/>
      <c r="EG23" s="328"/>
      <c r="EH23" s="328"/>
      <c r="EI23" s="328"/>
      <c r="EJ23" s="328"/>
      <c r="EK23" s="328"/>
      <c r="EL23" s="328"/>
      <c r="EM23" s="328"/>
      <c r="EN23" s="328"/>
      <c r="EO23" s="328"/>
      <c r="EP23" s="328"/>
      <c r="EQ23" s="328"/>
      <c r="ER23" s="328"/>
      <c r="ES23" s="328"/>
      <c r="ET23" s="328"/>
      <c r="EU23" s="328"/>
      <c r="EV23" s="328"/>
      <c r="EW23" s="328"/>
      <c r="EX23" s="328"/>
      <c r="EY23" s="328"/>
      <c r="EZ23" s="328"/>
      <c r="FA23" s="328"/>
      <c r="FB23" s="328"/>
      <c r="FC23" s="328"/>
      <c r="FD23" s="328"/>
      <c r="FE23" s="328"/>
      <c r="FF23" s="328"/>
      <c r="FG23" s="328"/>
      <c r="FH23" s="328"/>
      <c r="FI23" s="328"/>
      <c r="FJ23" s="328"/>
      <c r="FK23" s="328"/>
      <c r="FL23" s="328"/>
      <c r="FM23" s="328"/>
      <c r="FN23" s="328"/>
      <c r="FO23" s="328"/>
      <c r="FP23" s="328"/>
      <c r="FQ23" s="328"/>
      <c r="FR23" s="328"/>
      <c r="FS23" s="328"/>
      <c r="FT23" s="328"/>
      <c r="FU23" s="328"/>
      <c r="FV23" s="328"/>
      <c r="FW23" s="328"/>
      <c r="FX23" s="328"/>
      <c r="FY23" s="328"/>
      <c r="FZ23" s="328"/>
      <c r="GA23" s="328"/>
      <c r="GB23" s="328"/>
      <c r="GC23" s="328"/>
      <c r="GD23" s="328"/>
      <c r="GE23" s="328"/>
      <c r="GF23" s="328"/>
      <c r="GG23" s="328"/>
      <c r="GH23" s="328"/>
      <c r="GI23" s="328"/>
      <c r="GJ23" s="328"/>
      <c r="GK23" s="328"/>
      <c r="GL23" s="328"/>
      <c r="GM23" s="328"/>
      <c r="GN23" s="328"/>
      <c r="GO23" s="328"/>
      <c r="GP23" s="328"/>
      <c r="GQ23" s="328"/>
      <c r="GR23" s="328"/>
      <c r="GS23" s="328"/>
      <c r="GT23" s="328"/>
      <c r="GU23" s="328"/>
      <c r="GV23" s="328"/>
      <c r="GW23" s="328"/>
      <c r="GX23" s="328"/>
      <c r="GY23" s="328"/>
      <c r="GZ23" s="328"/>
      <c r="HA23" s="328"/>
      <c r="HB23" s="328"/>
      <c r="HC23" s="328"/>
      <c r="HD23" s="328"/>
      <c r="HE23" s="328"/>
      <c r="HF23" s="328"/>
      <c r="HG23" s="328"/>
      <c r="HH23" s="328"/>
      <c r="HI23" s="328"/>
      <c r="HJ23" s="328"/>
      <c r="HK23" s="328"/>
      <c r="HL23" s="328"/>
      <c r="HM23" s="328"/>
      <c r="HN23" s="328"/>
      <c r="HO23" s="328"/>
      <c r="HP23" s="328"/>
      <c r="HQ23" s="328"/>
      <c r="HR23" s="328"/>
      <c r="HS23" s="328"/>
      <c r="HT23" s="328"/>
      <c r="HU23" s="328"/>
      <c r="HV23" s="328"/>
      <c r="HW23" s="328"/>
      <c r="HX23" s="328"/>
      <c r="HY23" s="328"/>
      <c r="HZ23" s="328"/>
      <c r="IA23" s="328"/>
      <c r="IB23" s="328"/>
      <c r="IC23" s="328"/>
      <c r="ID23" s="328"/>
      <c r="IE23" s="328"/>
      <c r="IF23" s="328"/>
      <c r="IG23" s="328"/>
      <c r="IH23" s="328"/>
      <c r="II23" s="328"/>
      <c r="IJ23" s="328"/>
      <c r="IK23" s="328"/>
      <c r="IL23" s="328"/>
      <c r="IM23" s="328"/>
      <c r="IN23" s="328"/>
    </row>
    <row r="24" spans="1:248" customFormat="1" ht="14.45" customHeight="1">
      <c r="A24" s="346" t="s">
        <v>112</v>
      </c>
      <c r="B24" s="338"/>
      <c r="C24" s="338">
        <v>0</v>
      </c>
      <c r="D24" s="340"/>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8"/>
      <c r="BQ24" s="328"/>
      <c r="BR24" s="328"/>
      <c r="BS24" s="328"/>
      <c r="BT24" s="328"/>
      <c r="BU24" s="328"/>
      <c r="BV24" s="328"/>
      <c r="BW24" s="328"/>
      <c r="BX24" s="328"/>
      <c r="BY24" s="328"/>
      <c r="BZ24" s="328"/>
      <c r="CA24" s="328"/>
      <c r="CB24" s="328"/>
      <c r="CC24" s="328"/>
      <c r="CD24" s="328"/>
      <c r="CE24" s="328"/>
      <c r="CF24" s="328"/>
      <c r="CG24" s="328"/>
      <c r="CH24" s="328"/>
      <c r="CI24" s="328"/>
      <c r="CJ24" s="328"/>
      <c r="CK24" s="328"/>
      <c r="CL24" s="328"/>
      <c r="CM24" s="328"/>
      <c r="CN24" s="328"/>
      <c r="CO24" s="328"/>
      <c r="CP24" s="328"/>
      <c r="CQ24" s="328"/>
      <c r="CR24" s="328"/>
      <c r="CS24" s="328"/>
      <c r="CT24" s="328"/>
      <c r="CU24" s="328"/>
      <c r="CV24" s="328"/>
      <c r="CW24" s="328"/>
      <c r="CX24" s="328"/>
      <c r="CY24" s="328"/>
      <c r="CZ24" s="328"/>
      <c r="DA24" s="328"/>
      <c r="DB24" s="328"/>
      <c r="DC24" s="328"/>
      <c r="DD24" s="328"/>
      <c r="DE24" s="328"/>
      <c r="DF24" s="328"/>
      <c r="DG24" s="328"/>
      <c r="DH24" s="328"/>
      <c r="DI24" s="328"/>
      <c r="DJ24" s="328"/>
      <c r="DK24" s="328"/>
      <c r="DL24" s="328"/>
      <c r="DM24" s="328"/>
      <c r="DN24" s="328"/>
      <c r="DO24" s="328"/>
      <c r="DP24" s="328"/>
      <c r="DQ24" s="328"/>
      <c r="DR24" s="328"/>
      <c r="DS24" s="328"/>
      <c r="DT24" s="328"/>
      <c r="DU24" s="328"/>
      <c r="DV24" s="328"/>
      <c r="DW24" s="328"/>
      <c r="DX24" s="328"/>
      <c r="DY24" s="328"/>
      <c r="DZ24" s="328"/>
      <c r="EA24" s="328"/>
      <c r="EB24" s="328"/>
      <c r="EC24" s="328"/>
      <c r="ED24" s="328"/>
      <c r="EE24" s="328"/>
      <c r="EF24" s="328"/>
      <c r="EG24" s="328"/>
      <c r="EH24" s="328"/>
      <c r="EI24" s="328"/>
      <c r="EJ24" s="328"/>
      <c r="EK24" s="328"/>
      <c r="EL24" s="328"/>
      <c r="EM24" s="328"/>
      <c r="EN24" s="328"/>
      <c r="EO24" s="328"/>
      <c r="EP24" s="328"/>
      <c r="EQ24" s="328"/>
      <c r="ER24" s="328"/>
      <c r="ES24" s="328"/>
      <c r="ET24" s="328"/>
      <c r="EU24" s="328"/>
      <c r="EV24" s="328"/>
      <c r="EW24" s="328"/>
      <c r="EX24" s="328"/>
      <c r="EY24" s="328"/>
      <c r="EZ24" s="328"/>
      <c r="FA24" s="328"/>
      <c r="FB24" s="328"/>
      <c r="FC24" s="328"/>
      <c r="FD24" s="328"/>
      <c r="FE24" s="328"/>
      <c r="FF24" s="328"/>
      <c r="FG24" s="328"/>
      <c r="FH24" s="328"/>
      <c r="FI24" s="328"/>
      <c r="FJ24" s="328"/>
      <c r="FK24" s="328"/>
      <c r="FL24" s="328"/>
      <c r="FM24" s="328"/>
      <c r="FN24" s="328"/>
      <c r="FO24" s="328"/>
      <c r="FP24" s="328"/>
      <c r="FQ24" s="328"/>
      <c r="FR24" s="328"/>
      <c r="FS24" s="328"/>
      <c r="FT24" s="328"/>
      <c r="FU24" s="328"/>
      <c r="FV24" s="328"/>
      <c r="FW24" s="328"/>
      <c r="FX24" s="328"/>
      <c r="FY24" s="328"/>
      <c r="FZ24" s="328"/>
      <c r="GA24" s="328"/>
      <c r="GB24" s="328"/>
      <c r="GC24" s="328"/>
      <c r="GD24" s="328"/>
      <c r="GE24" s="328"/>
      <c r="GF24" s="328"/>
      <c r="GG24" s="328"/>
      <c r="GH24" s="328"/>
      <c r="GI24" s="328"/>
      <c r="GJ24" s="328"/>
      <c r="GK24" s="328"/>
      <c r="GL24" s="328"/>
      <c r="GM24" s="328"/>
      <c r="GN24" s="328"/>
      <c r="GO24" s="328"/>
      <c r="GP24" s="328"/>
      <c r="GQ24" s="328"/>
      <c r="GR24" s="328"/>
      <c r="GS24" s="328"/>
      <c r="GT24" s="328"/>
      <c r="GU24" s="328"/>
      <c r="GV24" s="328"/>
      <c r="GW24" s="328"/>
      <c r="GX24" s="328"/>
      <c r="GY24" s="328"/>
      <c r="GZ24" s="328"/>
      <c r="HA24" s="328"/>
      <c r="HB24" s="328"/>
      <c r="HC24" s="328"/>
      <c r="HD24" s="328"/>
      <c r="HE24" s="328"/>
      <c r="HF24" s="328"/>
      <c r="HG24" s="328"/>
      <c r="HH24" s="328"/>
      <c r="HI24" s="328"/>
      <c r="HJ24" s="328"/>
      <c r="HK24" s="328"/>
      <c r="HL24" s="328"/>
      <c r="HM24" s="328"/>
      <c r="HN24" s="328"/>
      <c r="HO24" s="328"/>
      <c r="HP24" s="328"/>
      <c r="HQ24" s="328"/>
      <c r="HR24" s="328"/>
      <c r="HS24" s="328"/>
      <c r="HT24" s="328"/>
      <c r="HU24" s="328"/>
      <c r="HV24" s="328"/>
      <c r="HW24" s="328"/>
      <c r="HX24" s="328"/>
      <c r="HY24" s="328"/>
      <c r="HZ24" s="328"/>
      <c r="IA24" s="328"/>
      <c r="IB24" s="328"/>
      <c r="IC24" s="328"/>
      <c r="ID24" s="328"/>
      <c r="IE24" s="328"/>
      <c r="IF24" s="328"/>
      <c r="IG24" s="328"/>
      <c r="IH24" s="328"/>
      <c r="II24" s="328"/>
      <c r="IJ24" s="328"/>
      <c r="IK24" s="328"/>
      <c r="IL24" s="328"/>
      <c r="IM24" s="328"/>
      <c r="IN24" s="328"/>
    </row>
    <row r="25" spans="1:248" customFormat="1" ht="14.45" customHeight="1">
      <c r="A25" s="346" t="s">
        <v>113</v>
      </c>
      <c r="B25" s="338">
        <v>57394</v>
      </c>
      <c r="C25" s="338">
        <v>39238</v>
      </c>
      <c r="D25" s="340">
        <f t="shared" ref="D25:D26" si="4">(C25-B25)/B25*100</f>
        <v>-31.633968707530403</v>
      </c>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328"/>
      <c r="AP25" s="328"/>
      <c r="AQ25" s="328"/>
      <c r="AR25" s="328"/>
      <c r="AS25" s="328"/>
      <c r="AT25" s="328"/>
      <c r="AU25" s="328"/>
      <c r="AV25" s="328"/>
      <c r="AW25" s="328"/>
      <c r="AX25" s="328"/>
      <c r="AY25" s="328"/>
      <c r="AZ25" s="328"/>
      <c r="BA25" s="328"/>
      <c r="BB25" s="328"/>
      <c r="BC25" s="328"/>
      <c r="BD25" s="328"/>
      <c r="BE25" s="328"/>
      <c r="BF25" s="328"/>
      <c r="BG25" s="328"/>
      <c r="BH25" s="328"/>
      <c r="BI25" s="328"/>
      <c r="BJ25" s="328"/>
      <c r="BK25" s="328"/>
      <c r="BL25" s="328"/>
      <c r="BM25" s="328"/>
      <c r="BN25" s="328"/>
      <c r="BO25" s="328"/>
      <c r="BP25" s="328"/>
      <c r="BQ25" s="328"/>
      <c r="BR25" s="328"/>
      <c r="BS25" s="328"/>
      <c r="BT25" s="328"/>
      <c r="BU25" s="328"/>
      <c r="BV25" s="328"/>
      <c r="BW25" s="328"/>
      <c r="BX25" s="328"/>
      <c r="BY25" s="328"/>
      <c r="BZ25" s="328"/>
      <c r="CA25" s="328"/>
      <c r="CB25" s="328"/>
      <c r="CC25" s="328"/>
      <c r="CD25" s="328"/>
      <c r="CE25" s="328"/>
      <c r="CF25" s="328"/>
      <c r="CG25" s="328"/>
      <c r="CH25" s="328"/>
      <c r="CI25" s="328"/>
      <c r="CJ25" s="328"/>
      <c r="CK25" s="328"/>
      <c r="CL25" s="328"/>
      <c r="CM25" s="328"/>
      <c r="CN25" s="328"/>
      <c r="CO25" s="328"/>
      <c r="CP25" s="328"/>
      <c r="CQ25" s="328"/>
      <c r="CR25" s="328"/>
      <c r="CS25" s="328"/>
      <c r="CT25" s="328"/>
      <c r="CU25" s="328"/>
      <c r="CV25" s="328"/>
      <c r="CW25" s="328"/>
      <c r="CX25" s="328"/>
      <c r="CY25" s="328"/>
      <c r="CZ25" s="328"/>
      <c r="DA25" s="328"/>
      <c r="DB25" s="328"/>
      <c r="DC25" s="328"/>
      <c r="DD25" s="328"/>
      <c r="DE25" s="328"/>
      <c r="DF25" s="328"/>
      <c r="DG25" s="328"/>
      <c r="DH25" s="328"/>
      <c r="DI25" s="328"/>
      <c r="DJ25" s="328"/>
      <c r="DK25" s="328"/>
      <c r="DL25" s="328"/>
      <c r="DM25" s="328"/>
      <c r="DN25" s="328"/>
      <c r="DO25" s="328"/>
      <c r="DP25" s="328"/>
      <c r="DQ25" s="328"/>
      <c r="DR25" s="328"/>
      <c r="DS25" s="328"/>
      <c r="DT25" s="328"/>
      <c r="DU25" s="328"/>
      <c r="DV25" s="328"/>
      <c r="DW25" s="328"/>
      <c r="DX25" s="328"/>
      <c r="DY25" s="328"/>
      <c r="DZ25" s="328"/>
      <c r="EA25" s="328"/>
      <c r="EB25" s="328"/>
      <c r="EC25" s="328"/>
      <c r="ED25" s="328"/>
      <c r="EE25" s="328"/>
      <c r="EF25" s="328"/>
      <c r="EG25" s="328"/>
      <c r="EH25" s="328"/>
      <c r="EI25" s="328"/>
      <c r="EJ25" s="328"/>
      <c r="EK25" s="328"/>
      <c r="EL25" s="328"/>
      <c r="EM25" s="328"/>
      <c r="EN25" s="328"/>
      <c r="EO25" s="328"/>
      <c r="EP25" s="328"/>
      <c r="EQ25" s="328"/>
      <c r="ER25" s="328"/>
      <c r="ES25" s="328"/>
      <c r="ET25" s="328"/>
      <c r="EU25" s="328"/>
      <c r="EV25" s="328"/>
      <c r="EW25" s="328"/>
      <c r="EX25" s="328"/>
      <c r="EY25" s="328"/>
      <c r="EZ25" s="328"/>
      <c r="FA25" s="328"/>
      <c r="FB25" s="328"/>
      <c r="FC25" s="328"/>
      <c r="FD25" s="328"/>
      <c r="FE25" s="328"/>
      <c r="FF25" s="328"/>
      <c r="FG25" s="328"/>
      <c r="FH25" s="328"/>
      <c r="FI25" s="328"/>
      <c r="FJ25" s="328"/>
      <c r="FK25" s="328"/>
      <c r="FL25" s="328"/>
      <c r="FM25" s="328"/>
      <c r="FN25" s="328"/>
      <c r="FO25" s="328"/>
      <c r="FP25" s="328"/>
      <c r="FQ25" s="328"/>
      <c r="FR25" s="328"/>
      <c r="FS25" s="328"/>
      <c r="FT25" s="328"/>
      <c r="FU25" s="328"/>
      <c r="FV25" s="328"/>
      <c r="FW25" s="328"/>
      <c r="FX25" s="328"/>
      <c r="FY25" s="328"/>
      <c r="FZ25" s="328"/>
      <c r="GA25" s="328"/>
      <c r="GB25" s="328"/>
      <c r="GC25" s="328"/>
      <c r="GD25" s="328"/>
      <c r="GE25" s="328"/>
      <c r="GF25" s="328"/>
      <c r="GG25" s="328"/>
      <c r="GH25" s="328"/>
      <c r="GI25" s="328"/>
      <c r="GJ25" s="328"/>
      <c r="GK25" s="328"/>
      <c r="GL25" s="328"/>
      <c r="GM25" s="328"/>
      <c r="GN25" s="328"/>
      <c r="GO25" s="328"/>
      <c r="GP25" s="328"/>
      <c r="GQ25" s="328"/>
      <c r="GR25" s="328"/>
      <c r="GS25" s="328"/>
      <c r="GT25" s="328"/>
      <c r="GU25" s="328"/>
      <c r="GV25" s="328"/>
      <c r="GW25" s="328"/>
      <c r="GX25" s="328"/>
      <c r="GY25" s="328"/>
      <c r="GZ25" s="328"/>
      <c r="HA25" s="328"/>
      <c r="HB25" s="328"/>
      <c r="HC25" s="328"/>
      <c r="HD25" s="328"/>
      <c r="HE25" s="328"/>
      <c r="HF25" s="328"/>
      <c r="HG25" s="328"/>
      <c r="HH25" s="328"/>
      <c r="HI25" s="328"/>
      <c r="HJ25" s="328"/>
      <c r="HK25" s="328"/>
      <c r="HL25" s="328"/>
      <c r="HM25" s="328"/>
      <c r="HN25" s="328"/>
      <c r="HO25" s="328"/>
      <c r="HP25" s="328"/>
      <c r="HQ25" s="328"/>
      <c r="HR25" s="328"/>
      <c r="HS25" s="328"/>
      <c r="HT25" s="328"/>
      <c r="HU25" s="328"/>
      <c r="HV25" s="328"/>
      <c r="HW25" s="328"/>
      <c r="HX25" s="328"/>
      <c r="HY25" s="328"/>
      <c r="HZ25" s="328"/>
      <c r="IA25" s="328"/>
      <c r="IB25" s="328"/>
      <c r="IC25" s="328"/>
      <c r="ID25" s="328"/>
      <c r="IE25" s="328"/>
      <c r="IF25" s="328"/>
      <c r="IG25" s="328"/>
      <c r="IH25" s="328"/>
      <c r="II25" s="328"/>
      <c r="IJ25" s="328"/>
      <c r="IK25" s="328"/>
      <c r="IL25" s="328"/>
      <c r="IM25" s="328"/>
      <c r="IN25" s="328"/>
    </row>
    <row r="26" spans="1:248" customFormat="1" ht="14.45" customHeight="1">
      <c r="A26" s="346" t="s">
        <v>114</v>
      </c>
      <c r="B26" s="338">
        <v>772</v>
      </c>
      <c r="C26" s="338">
        <v>200</v>
      </c>
      <c r="D26" s="340">
        <f t="shared" si="4"/>
        <v>-74.093264248704656</v>
      </c>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8"/>
      <c r="AS26" s="328"/>
      <c r="AT26" s="328"/>
      <c r="AU26" s="328"/>
      <c r="AV26" s="328"/>
      <c r="AW26" s="328"/>
      <c r="AX26" s="328"/>
      <c r="AY26" s="328"/>
      <c r="AZ26" s="328"/>
      <c r="BA26" s="328"/>
      <c r="BB26" s="328"/>
      <c r="BC26" s="328"/>
      <c r="BD26" s="328"/>
      <c r="BE26" s="328"/>
      <c r="BF26" s="328"/>
      <c r="BG26" s="328"/>
      <c r="BH26" s="328"/>
      <c r="BI26" s="328"/>
      <c r="BJ26" s="328"/>
      <c r="BK26" s="328"/>
      <c r="BL26" s="328"/>
      <c r="BM26" s="328"/>
      <c r="BN26" s="328"/>
      <c r="BO26" s="328"/>
      <c r="BP26" s="328"/>
      <c r="BQ26" s="328"/>
      <c r="BR26" s="328"/>
      <c r="BS26" s="328"/>
      <c r="BT26" s="328"/>
      <c r="BU26" s="328"/>
      <c r="BV26" s="328"/>
      <c r="BW26" s="328"/>
      <c r="BX26" s="328"/>
      <c r="BY26" s="328"/>
      <c r="BZ26" s="328"/>
      <c r="CA26" s="328"/>
      <c r="CB26" s="328"/>
      <c r="CC26" s="328"/>
      <c r="CD26" s="328"/>
      <c r="CE26" s="328"/>
      <c r="CF26" s="328"/>
      <c r="CG26" s="328"/>
      <c r="CH26" s="328"/>
      <c r="CI26" s="328"/>
      <c r="CJ26" s="328"/>
      <c r="CK26" s="328"/>
      <c r="CL26" s="328"/>
      <c r="CM26" s="328"/>
      <c r="CN26" s="328"/>
      <c r="CO26" s="328"/>
      <c r="CP26" s="328"/>
      <c r="CQ26" s="328"/>
      <c r="CR26" s="328"/>
      <c r="CS26" s="328"/>
      <c r="CT26" s="328"/>
      <c r="CU26" s="328"/>
      <c r="CV26" s="328"/>
      <c r="CW26" s="328"/>
      <c r="CX26" s="328"/>
      <c r="CY26" s="328"/>
      <c r="CZ26" s="328"/>
      <c r="DA26" s="328"/>
      <c r="DB26" s="328"/>
      <c r="DC26" s="328"/>
      <c r="DD26" s="328"/>
      <c r="DE26" s="328"/>
      <c r="DF26" s="328"/>
      <c r="DG26" s="328"/>
      <c r="DH26" s="328"/>
      <c r="DI26" s="328"/>
      <c r="DJ26" s="328"/>
      <c r="DK26" s="328"/>
      <c r="DL26" s="328"/>
      <c r="DM26" s="328"/>
      <c r="DN26" s="328"/>
      <c r="DO26" s="328"/>
      <c r="DP26" s="328"/>
      <c r="DQ26" s="328"/>
      <c r="DR26" s="328"/>
      <c r="DS26" s="328"/>
      <c r="DT26" s="328"/>
      <c r="DU26" s="328"/>
      <c r="DV26" s="328"/>
      <c r="DW26" s="328"/>
      <c r="DX26" s="328"/>
      <c r="DY26" s="328"/>
      <c r="DZ26" s="328"/>
      <c r="EA26" s="328"/>
      <c r="EB26" s="328"/>
      <c r="EC26" s="328"/>
      <c r="ED26" s="328"/>
      <c r="EE26" s="328"/>
      <c r="EF26" s="328"/>
      <c r="EG26" s="328"/>
      <c r="EH26" s="328"/>
      <c r="EI26" s="328"/>
      <c r="EJ26" s="328"/>
      <c r="EK26" s="328"/>
      <c r="EL26" s="328"/>
      <c r="EM26" s="328"/>
      <c r="EN26" s="328"/>
      <c r="EO26" s="328"/>
      <c r="EP26" s="328"/>
      <c r="EQ26" s="328"/>
      <c r="ER26" s="328"/>
      <c r="ES26" s="328"/>
      <c r="ET26" s="328"/>
      <c r="EU26" s="328"/>
      <c r="EV26" s="328"/>
      <c r="EW26" s="328"/>
      <c r="EX26" s="328"/>
      <c r="EY26" s="328"/>
      <c r="EZ26" s="328"/>
      <c r="FA26" s="328"/>
      <c r="FB26" s="328"/>
      <c r="FC26" s="328"/>
      <c r="FD26" s="328"/>
      <c r="FE26" s="328"/>
      <c r="FF26" s="328"/>
      <c r="FG26" s="328"/>
      <c r="FH26" s="328"/>
      <c r="FI26" s="328"/>
      <c r="FJ26" s="328"/>
      <c r="FK26" s="328"/>
      <c r="FL26" s="328"/>
      <c r="FM26" s="328"/>
      <c r="FN26" s="328"/>
      <c r="FO26" s="328"/>
      <c r="FP26" s="328"/>
      <c r="FQ26" s="328"/>
      <c r="FR26" s="328"/>
      <c r="FS26" s="328"/>
      <c r="FT26" s="328"/>
      <c r="FU26" s="328"/>
      <c r="FV26" s="328"/>
      <c r="FW26" s="328"/>
      <c r="FX26" s="328"/>
      <c r="FY26" s="328"/>
      <c r="FZ26" s="328"/>
      <c r="GA26" s="328"/>
      <c r="GB26" s="328"/>
      <c r="GC26" s="328"/>
      <c r="GD26" s="328"/>
      <c r="GE26" s="328"/>
      <c r="GF26" s="328"/>
      <c r="GG26" s="328"/>
      <c r="GH26" s="328"/>
      <c r="GI26" s="328"/>
      <c r="GJ26" s="328"/>
      <c r="GK26" s="328"/>
      <c r="GL26" s="328"/>
      <c r="GM26" s="328"/>
      <c r="GN26" s="328"/>
      <c r="GO26" s="328"/>
      <c r="GP26" s="328"/>
      <c r="GQ26" s="328"/>
      <c r="GR26" s="328"/>
      <c r="GS26" s="328"/>
      <c r="GT26" s="328"/>
      <c r="GU26" s="328"/>
      <c r="GV26" s="328"/>
      <c r="GW26" s="328"/>
      <c r="GX26" s="328"/>
      <c r="GY26" s="328"/>
      <c r="GZ26" s="328"/>
      <c r="HA26" s="328"/>
      <c r="HB26" s="328"/>
      <c r="HC26" s="328"/>
      <c r="HD26" s="328"/>
      <c r="HE26" s="328"/>
      <c r="HF26" s="328"/>
      <c r="HG26" s="328"/>
      <c r="HH26" s="328"/>
      <c r="HI26" s="328"/>
      <c r="HJ26" s="328"/>
      <c r="HK26" s="328"/>
      <c r="HL26" s="328"/>
      <c r="HM26" s="328"/>
      <c r="HN26" s="328"/>
      <c r="HO26" s="328"/>
      <c r="HP26" s="328"/>
      <c r="HQ26" s="328"/>
      <c r="HR26" s="328"/>
      <c r="HS26" s="328"/>
      <c r="HT26" s="328"/>
      <c r="HU26" s="328"/>
      <c r="HV26" s="328"/>
      <c r="HW26" s="328"/>
      <c r="HX26" s="328"/>
      <c r="HY26" s="328"/>
      <c r="HZ26" s="328"/>
      <c r="IA26" s="328"/>
      <c r="IB26" s="328"/>
      <c r="IC26" s="328"/>
      <c r="ID26" s="328"/>
      <c r="IE26" s="328"/>
      <c r="IF26" s="328"/>
      <c r="IG26" s="328"/>
      <c r="IH26" s="328"/>
      <c r="II26" s="328"/>
      <c r="IJ26" s="328"/>
      <c r="IK26" s="328"/>
      <c r="IL26" s="328"/>
      <c r="IM26" s="328"/>
      <c r="IN26" s="328"/>
    </row>
    <row r="27" spans="1:248" customFormat="1" ht="14.45" customHeight="1">
      <c r="A27" s="346" t="s">
        <v>115</v>
      </c>
      <c r="B27" s="338">
        <v>16724</v>
      </c>
      <c r="C27" s="338">
        <v>10291</v>
      </c>
      <c r="D27" s="340">
        <f t="shared" ref="D27:D31" si="5">(C27-B27)/B27*100</f>
        <v>-38.465678067447975</v>
      </c>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8"/>
      <c r="AP27" s="328"/>
      <c r="AQ27" s="328"/>
      <c r="AR27" s="328"/>
      <c r="AS27" s="328"/>
      <c r="AT27" s="328"/>
      <c r="AU27" s="328"/>
      <c r="AV27" s="328"/>
      <c r="AW27" s="328"/>
      <c r="AX27" s="328"/>
      <c r="AY27" s="328"/>
      <c r="AZ27" s="328"/>
      <c r="BA27" s="328"/>
      <c r="BB27" s="328"/>
      <c r="BC27" s="328"/>
      <c r="BD27" s="328"/>
      <c r="BE27" s="328"/>
      <c r="BF27" s="328"/>
      <c r="BG27" s="328"/>
      <c r="BH27" s="328"/>
      <c r="BI27" s="328"/>
      <c r="BJ27" s="328"/>
      <c r="BK27" s="328"/>
      <c r="BL27" s="328"/>
      <c r="BM27" s="328"/>
      <c r="BN27" s="328"/>
      <c r="BO27" s="328"/>
      <c r="BP27" s="328"/>
      <c r="BQ27" s="328"/>
      <c r="BR27" s="328"/>
      <c r="BS27" s="328"/>
      <c r="BT27" s="328"/>
      <c r="BU27" s="328"/>
      <c r="BV27" s="328"/>
      <c r="BW27" s="328"/>
      <c r="BX27" s="328"/>
      <c r="BY27" s="328"/>
      <c r="BZ27" s="328"/>
      <c r="CA27" s="328"/>
      <c r="CB27" s="328"/>
      <c r="CC27" s="328"/>
      <c r="CD27" s="328"/>
      <c r="CE27" s="328"/>
      <c r="CF27" s="328"/>
      <c r="CG27" s="328"/>
      <c r="CH27" s="328"/>
      <c r="CI27" s="328"/>
      <c r="CJ27" s="328"/>
      <c r="CK27" s="328"/>
      <c r="CL27" s="328"/>
      <c r="CM27" s="328"/>
      <c r="CN27" s="328"/>
      <c r="CO27" s="328"/>
      <c r="CP27" s="328"/>
      <c r="CQ27" s="328"/>
      <c r="CR27" s="328"/>
      <c r="CS27" s="328"/>
      <c r="CT27" s="328"/>
      <c r="CU27" s="328"/>
      <c r="CV27" s="328"/>
      <c r="CW27" s="328"/>
      <c r="CX27" s="328"/>
      <c r="CY27" s="328"/>
      <c r="CZ27" s="328"/>
      <c r="DA27" s="328"/>
      <c r="DB27" s="328"/>
      <c r="DC27" s="328"/>
      <c r="DD27" s="328"/>
      <c r="DE27" s="328"/>
      <c r="DF27" s="328"/>
      <c r="DG27" s="328"/>
      <c r="DH27" s="328"/>
      <c r="DI27" s="328"/>
      <c r="DJ27" s="328"/>
      <c r="DK27" s="328"/>
      <c r="DL27" s="328"/>
      <c r="DM27" s="328"/>
      <c r="DN27" s="328"/>
      <c r="DO27" s="328"/>
      <c r="DP27" s="328"/>
      <c r="DQ27" s="328"/>
      <c r="DR27" s="328"/>
      <c r="DS27" s="328"/>
      <c r="DT27" s="328"/>
      <c r="DU27" s="328"/>
      <c r="DV27" s="328"/>
      <c r="DW27" s="328"/>
      <c r="DX27" s="328"/>
      <c r="DY27" s="328"/>
      <c r="DZ27" s="328"/>
      <c r="EA27" s="328"/>
      <c r="EB27" s="328"/>
      <c r="EC27" s="328"/>
      <c r="ED27" s="328"/>
      <c r="EE27" s="328"/>
      <c r="EF27" s="328"/>
      <c r="EG27" s="328"/>
      <c r="EH27" s="328"/>
      <c r="EI27" s="328"/>
      <c r="EJ27" s="328"/>
      <c r="EK27" s="328"/>
      <c r="EL27" s="328"/>
      <c r="EM27" s="328"/>
      <c r="EN27" s="328"/>
      <c r="EO27" s="328"/>
      <c r="EP27" s="328"/>
      <c r="EQ27" s="328"/>
      <c r="ER27" s="328"/>
      <c r="ES27" s="328"/>
      <c r="ET27" s="328"/>
      <c r="EU27" s="328"/>
      <c r="EV27" s="328"/>
      <c r="EW27" s="328"/>
      <c r="EX27" s="328"/>
      <c r="EY27" s="328"/>
      <c r="EZ27" s="328"/>
      <c r="FA27" s="328"/>
      <c r="FB27" s="328"/>
      <c r="FC27" s="328"/>
      <c r="FD27" s="328"/>
      <c r="FE27" s="328"/>
      <c r="FF27" s="328"/>
      <c r="FG27" s="328"/>
      <c r="FH27" s="328"/>
      <c r="FI27" s="328"/>
      <c r="FJ27" s="328"/>
      <c r="FK27" s="328"/>
      <c r="FL27" s="328"/>
      <c r="FM27" s="328"/>
      <c r="FN27" s="328"/>
      <c r="FO27" s="328"/>
      <c r="FP27" s="328"/>
      <c r="FQ27" s="328"/>
      <c r="FR27" s="328"/>
      <c r="FS27" s="328"/>
      <c r="FT27" s="328"/>
      <c r="FU27" s="328"/>
      <c r="FV27" s="328"/>
      <c r="FW27" s="328"/>
      <c r="FX27" s="328"/>
      <c r="FY27" s="328"/>
      <c r="FZ27" s="328"/>
      <c r="GA27" s="328"/>
      <c r="GB27" s="328"/>
      <c r="GC27" s="328"/>
      <c r="GD27" s="328"/>
      <c r="GE27" s="328"/>
      <c r="GF27" s="328"/>
      <c r="GG27" s="328"/>
      <c r="GH27" s="328"/>
      <c r="GI27" s="328"/>
      <c r="GJ27" s="328"/>
      <c r="GK27" s="328"/>
      <c r="GL27" s="328"/>
      <c r="GM27" s="328"/>
      <c r="GN27" s="328"/>
      <c r="GO27" s="328"/>
      <c r="GP27" s="328"/>
      <c r="GQ27" s="328"/>
      <c r="GR27" s="328"/>
      <c r="GS27" s="328"/>
      <c r="GT27" s="328"/>
      <c r="GU27" s="328"/>
      <c r="GV27" s="328"/>
      <c r="GW27" s="328"/>
      <c r="GX27" s="328"/>
      <c r="GY27" s="328"/>
      <c r="GZ27" s="328"/>
      <c r="HA27" s="328"/>
      <c r="HB27" s="328"/>
      <c r="HC27" s="328"/>
      <c r="HD27" s="328"/>
      <c r="HE27" s="328"/>
      <c r="HF27" s="328"/>
      <c r="HG27" s="328"/>
      <c r="HH27" s="328"/>
      <c r="HI27" s="328"/>
      <c r="HJ27" s="328"/>
      <c r="HK27" s="328"/>
      <c r="HL27" s="328"/>
      <c r="HM27" s="328"/>
      <c r="HN27" s="328"/>
      <c r="HO27" s="328"/>
      <c r="HP27" s="328"/>
      <c r="HQ27" s="328"/>
      <c r="HR27" s="328"/>
      <c r="HS27" s="328"/>
      <c r="HT27" s="328"/>
      <c r="HU27" s="328"/>
      <c r="HV27" s="328"/>
      <c r="HW27" s="328"/>
      <c r="HX27" s="328"/>
      <c r="HY27" s="328"/>
      <c r="HZ27" s="328"/>
      <c r="IA27" s="328"/>
      <c r="IB27" s="328"/>
      <c r="IC27" s="328"/>
      <c r="ID27" s="328"/>
      <c r="IE27" s="328"/>
      <c r="IF27" s="328"/>
      <c r="IG27" s="328"/>
      <c r="IH27" s="328"/>
      <c r="II27" s="328"/>
      <c r="IJ27" s="328"/>
      <c r="IK27" s="328"/>
      <c r="IL27" s="328"/>
      <c r="IM27" s="328"/>
      <c r="IN27" s="328"/>
    </row>
    <row r="28" spans="1:248" customFormat="1" ht="14.45" customHeight="1">
      <c r="A28" s="346" t="s">
        <v>116</v>
      </c>
      <c r="B28" s="338">
        <v>7321</v>
      </c>
      <c r="C28" s="338">
        <v>6466</v>
      </c>
      <c r="D28" s="340">
        <f t="shared" si="5"/>
        <v>-11.678732413604699</v>
      </c>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c r="AR28" s="328"/>
      <c r="AS28" s="328"/>
      <c r="AT28" s="328"/>
      <c r="AU28" s="328"/>
      <c r="AV28" s="328"/>
      <c r="AW28" s="328"/>
      <c r="AX28" s="328"/>
      <c r="AY28" s="328"/>
      <c r="AZ28" s="328"/>
      <c r="BA28" s="328"/>
      <c r="BB28" s="328"/>
      <c r="BC28" s="328"/>
      <c r="BD28" s="328"/>
      <c r="BE28" s="328"/>
      <c r="BF28" s="328"/>
      <c r="BG28" s="328"/>
      <c r="BH28" s="328"/>
      <c r="BI28" s="328"/>
      <c r="BJ28" s="328"/>
      <c r="BK28" s="328"/>
      <c r="BL28" s="328"/>
      <c r="BM28" s="328"/>
      <c r="BN28" s="328"/>
      <c r="BO28" s="328"/>
      <c r="BP28" s="328"/>
      <c r="BQ28" s="328"/>
      <c r="BR28" s="328"/>
      <c r="BS28" s="328"/>
      <c r="BT28" s="328"/>
      <c r="BU28" s="328"/>
      <c r="BV28" s="328"/>
      <c r="BW28" s="328"/>
      <c r="BX28" s="328"/>
      <c r="BY28" s="328"/>
      <c r="BZ28" s="328"/>
      <c r="CA28" s="328"/>
      <c r="CB28" s="328"/>
      <c r="CC28" s="328"/>
      <c r="CD28" s="328"/>
      <c r="CE28" s="328"/>
      <c r="CF28" s="328"/>
      <c r="CG28" s="328"/>
      <c r="CH28" s="328"/>
      <c r="CI28" s="328"/>
      <c r="CJ28" s="328"/>
      <c r="CK28" s="328"/>
      <c r="CL28" s="328"/>
      <c r="CM28" s="328"/>
      <c r="CN28" s="328"/>
      <c r="CO28" s="328"/>
      <c r="CP28" s="328"/>
      <c r="CQ28" s="328"/>
      <c r="CR28" s="328"/>
      <c r="CS28" s="328"/>
      <c r="CT28" s="328"/>
      <c r="CU28" s="328"/>
      <c r="CV28" s="328"/>
      <c r="CW28" s="328"/>
      <c r="CX28" s="328"/>
      <c r="CY28" s="328"/>
      <c r="CZ28" s="328"/>
      <c r="DA28" s="328"/>
      <c r="DB28" s="328"/>
      <c r="DC28" s="328"/>
      <c r="DD28" s="328"/>
      <c r="DE28" s="328"/>
      <c r="DF28" s="328"/>
      <c r="DG28" s="328"/>
      <c r="DH28" s="328"/>
      <c r="DI28" s="328"/>
      <c r="DJ28" s="328"/>
      <c r="DK28" s="328"/>
      <c r="DL28" s="328"/>
      <c r="DM28" s="328"/>
      <c r="DN28" s="328"/>
      <c r="DO28" s="328"/>
      <c r="DP28" s="328"/>
      <c r="DQ28" s="328"/>
      <c r="DR28" s="328"/>
      <c r="DS28" s="328"/>
      <c r="DT28" s="328"/>
      <c r="DU28" s="328"/>
      <c r="DV28" s="328"/>
      <c r="DW28" s="328"/>
      <c r="DX28" s="328"/>
      <c r="DY28" s="328"/>
      <c r="DZ28" s="328"/>
      <c r="EA28" s="328"/>
      <c r="EB28" s="328"/>
      <c r="EC28" s="328"/>
      <c r="ED28" s="328"/>
      <c r="EE28" s="328"/>
      <c r="EF28" s="328"/>
      <c r="EG28" s="328"/>
      <c r="EH28" s="328"/>
      <c r="EI28" s="328"/>
      <c r="EJ28" s="328"/>
      <c r="EK28" s="328"/>
      <c r="EL28" s="328"/>
      <c r="EM28" s="328"/>
      <c r="EN28" s="328"/>
      <c r="EO28" s="328"/>
      <c r="EP28" s="328"/>
      <c r="EQ28" s="328"/>
      <c r="ER28" s="328"/>
      <c r="ES28" s="328"/>
      <c r="ET28" s="328"/>
      <c r="EU28" s="328"/>
      <c r="EV28" s="328"/>
      <c r="EW28" s="328"/>
      <c r="EX28" s="328"/>
      <c r="EY28" s="328"/>
      <c r="EZ28" s="328"/>
      <c r="FA28" s="328"/>
      <c r="FB28" s="328"/>
      <c r="FC28" s="328"/>
      <c r="FD28" s="328"/>
      <c r="FE28" s="328"/>
      <c r="FF28" s="328"/>
      <c r="FG28" s="328"/>
      <c r="FH28" s="328"/>
      <c r="FI28" s="328"/>
      <c r="FJ28" s="328"/>
      <c r="FK28" s="328"/>
      <c r="FL28" s="328"/>
      <c r="FM28" s="328"/>
      <c r="FN28" s="328"/>
      <c r="FO28" s="328"/>
      <c r="FP28" s="328"/>
      <c r="FQ28" s="328"/>
      <c r="FR28" s="328"/>
      <c r="FS28" s="328"/>
      <c r="FT28" s="328"/>
      <c r="FU28" s="328"/>
      <c r="FV28" s="328"/>
      <c r="FW28" s="328"/>
      <c r="FX28" s="328"/>
      <c r="FY28" s="328"/>
      <c r="FZ28" s="328"/>
      <c r="GA28" s="328"/>
      <c r="GB28" s="328"/>
      <c r="GC28" s="328"/>
      <c r="GD28" s="328"/>
      <c r="GE28" s="328"/>
      <c r="GF28" s="328"/>
      <c r="GG28" s="328"/>
      <c r="GH28" s="328"/>
      <c r="GI28" s="328"/>
      <c r="GJ28" s="328"/>
      <c r="GK28" s="328"/>
      <c r="GL28" s="328"/>
      <c r="GM28" s="328"/>
      <c r="GN28" s="328"/>
      <c r="GO28" s="328"/>
      <c r="GP28" s="328"/>
      <c r="GQ28" s="328"/>
      <c r="GR28" s="328"/>
      <c r="GS28" s="328"/>
      <c r="GT28" s="328"/>
      <c r="GU28" s="328"/>
      <c r="GV28" s="328"/>
      <c r="GW28" s="328"/>
      <c r="GX28" s="328"/>
      <c r="GY28" s="328"/>
      <c r="GZ28" s="328"/>
      <c r="HA28" s="328"/>
      <c r="HB28" s="328"/>
      <c r="HC28" s="328"/>
      <c r="HD28" s="328"/>
      <c r="HE28" s="328"/>
      <c r="HF28" s="328"/>
      <c r="HG28" s="328"/>
      <c r="HH28" s="328"/>
      <c r="HI28" s="328"/>
      <c r="HJ28" s="328"/>
      <c r="HK28" s="328"/>
      <c r="HL28" s="328"/>
      <c r="HM28" s="328"/>
      <c r="HN28" s="328"/>
      <c r="HO28" s="328"/>
      <c r="HP28" s="328"/>
      <c r="HQ28" s="328"/>
      <c r="HR28" s="328"/>
      <c r="HS28" s="328"/>
      <c r="HT28" s="328"/>
      <c r="HU28" s="328"/>
      <c r="HV28" s="328"/>
      <c r="HW28" s="328"/>
      <c r="HX28" s="328"/>
      <c r="HY28" s="328"/>
      <c r="HZ28" s="328"/>
      <c r="IA28" s="328"/>
      <c r="IB28" s="328"/>
      <c r="IC28" s="328"/>
      <c r="ID28" s="328"/>
      <c r="IE28" s="328"/>
      <c r="IF28" s="328"/>
      <c r="IG28" s="328"/>
      <c r="IH28" s="328"/>
      <c r="II28" s="328"/>
      <c r="IJ28" s="328"/>
      <c r="IK28" s="328"/>
      <c r="IL28" s="328"/>
      <c r="IM28" s="328"/>
      <c r="IN28" s="328"/>
    </row>
    <row r="29" spans="1:248" customFormat="1" ht="14.45" customHeight="1">
      <c r="A29" s="344" t="s">
        <v>275</v>
      </c>
      <c r="B29" s="338">
        <f>+B4+B20</f>
        <v>710537</v>
      </c>
      <c r="C29" s="339">
        <f>+C4+C20</f>
        <v>748261</v>
      </c>
      <c r="D29" s="340">
        <f t="shared" si="5"/>
        <v>5.3092238687077522</v>
      </c>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8"/>
      <c r="AZ29" s="328"/>
      <c r="BA29" s="328"/>
      <c r="BB29" s="328"/>
      <c r="BC29" s="328"/>
      <c r="BD29" s="328"/>
      <c r="BE29" s="328"/>
      <c r="BF29" s="328"/>
      <c r="BG29" s="328"/>
      <c r="BH29" s="328"/>
      <c r="BI29" s="328"/>
      <c r="BJ29" s="328"/>
      <c r="BK29" s="328"/>
      <c r="BL29" s="328"/>
      <c r="BM29" s="328"/>
      <c r="BN29" s="328"/>
      <c r="BO29" s="328"/>
      <c r="BP29" s="328"/>
      <c r="BQ29" s="328"/>
      <c r="BR29" s="328"/>
      <c r="BS29" s="328"/>
      <c r="BT29" s="328"/>
      <c r="BU29" s="328"/>
      <c r="BV29" s="328"/>
      <c r="BW29" s="328"/>
      <c r="BX29" s="328"/>
      <c r="BY29" s="328"/>
      <c r="BZ29" s="328"/>
      <c r="CA29" s="328"/>
      <c r="CB29" s="328"/>
      <c r="CC29" s="328"/>
      <c r="CD29" s="328"/>
      <c r="CE29" s="328"/>
      <c r="CF29" s="328"/>
      <c r="CG29" s="328"/>
      <c r="CH29" s="328"/>
      <c r="CI29" s="328"/>
      <c r="CJ29" s="328"/>
      <c r="CK29" s="328"/>
      <c r="CL29" s="328"/>
      <c r="CM29" s="328"/>
      <c r="CN29" s="328"/>
      <c r="CO29" s="328"/>
      <c r="CP29" s="328"/>
      <c r="CQ29" s="328"/>
      <c r="CR29" s="328"/>
      <c r="CS29" s="328"/>
      <c r="CT29" s="328"/>
      <c r="CU29" s="328"/>
      <c r="CV29" s="328"/>
      <c r="CW29" s="328"/>
      <c r="CX29" s="328"/>
      <c r="CY29" s="328"/>
      <c r="CZ29" s="328"/>
      <c r="DA29" s="328"/>
      <c r="DB29" s="328"/>
      <c r="DC29" s="328"/>
      <c r="DD29" s="328"/>
      <c r="DE29" s="328"/>
      <c r="DF29" s="328"/>
      <c r="DG29" s="328"/>
      <c r="DH29" s="328"/>
      <c r="DI29" s="328"/>
      <c r="DJ29" s="328"/>
      <c r="DK29" s="328"/>
      <c r="DL29" s="328"/>
      <c r="DM29" s="328"/>
      <c r="DN29" s="328"/>
      <c r="DO29" s="328"/>
      <c r="DP29" s="328"/>
      <c r="DQ29" s="328"/>
      <c r="DR29" s="328"/>
      <c r="DS29" s="328"/>
      <c r="DT29" s="328"/>
      <c r="DU29" s="328"/>
      <c r="DV29" s="328"/>
      <c r="DW29" s="328"/>
      <c r="DX29" s="328"/>
      <c r="DY29" s="328"/>
      <c r="DZ29" s="328"/>
      <c r="EA29" s="328"/>
      <c r="EB29" s="328"/>
      <c r="EC29" s="328"/>
      <c r="ED29" s="328"/>
      <c r="EE29" s="328"/>
      <c r="EF29" s="328"/>
      <c r="EG29" s="328"/>
      <c r="EH29" s="328"/>
      <c r="EI29" s="328"/>
      <c r="EJ29" s="328"/>
      <c r="EK29" s="328"/>
      <c r="EL29" s="328"/>
      <c r="EM29" s="328"/>
      <c r="EN29" s="328"/>
      <c r="EO29" s="328"/>
      <c r="EP29" s="328"/>
      <c r="EQ29" s="328"/>
      <c r="ER29" s="328"/>
      <c r="ES29" s="328"/>
      <c r="ET29" s="328"/>
      <c r="EU29" s="328"/>
      <c r="EV29" s="328"/>
      <c r="EW29" s="328"/>
      <c r="EX29" s="328"/>
      <c r="EY29" s="328"/>
      <c r="EZ29" s="328"/>
      <c r="FA29" s="328"/>
      <c r="FB29" s="328"/>
      <c r="FC29" s="328"/>
      <c r="FD29" s="328"/>
      <c r="FE29" s="328"/>
      <c r="FF29" s="328"/>
      <c r="FG29" s="328"/>
      <c r="FH29" s="328"/>
      <c r="FI29" s="328"/>
      <c r="FJ29" s="328"/>
      <c r="FK29" s="328"/>
      <c r="FL29" s="328"/>
      <c r="FM29" s="328"/>
      <c r="FN29" s="328"/>
      <c r="FO29" s="328"/>
      <c r="FP29" s="328"/>
      <c r="FQ29" s="328"/>
      <c r="FR29" s="328"/>
      <c r="FS29" s="328"/>
      <c r="FT29" s="328"/>
      <c r="FU29" s="328"/>
      <c r="FV29" s="328"/>
      <c r="FW29" s="328"/>
      <c r="FX29" s="328"/>
      <c r="FY29" s="328"/>
      <c r="FZ29" s="328"/>
      <c r="GA29" s="328"/>
      <c r="GB29" s="328"/>
      <c r="GC29" s="328"/>
      <c r="GD29" s="328"/>
      <c r="GE29" s="328"/>
      <c r="GF29" s="328"/>
      <c r="GG29" s="328"/>
      <c r="GH29" s="328"/>
      <c r="GI29" s="328"/>
      <c r="GJ29" s="328"/>
      <c r="GK29" s="328"/>
      <c r="GL29" s="328"/>
      <c r="GM29" s="328"/>
      <c r="GN29" s="328"/>
      <c r="GO29" s="328"/>
      <c r="GP29" s="328"/>
      <c r="GQ29" s="328"/>
      <c r="GR29" s="328"/>
      <c r="GS29" s="328"/>
      <c r="GT29" s="328"/>
      <c r="GU29" s="328"/>
      <c r="GV29" s="328"/>
      <c r="GW29" s="328"/>
      <c r="GX29" s="328"/>
      <c r="GY29" s="328"/>
      <c r="GZ29" s="328"/>
      <c r="HA29" s="328"/>
      <c r="HB29" s="328"/>
      <c r="HC29" s="328"/>
      <c r="HD29" s="328"/>
      <c r="HE29" s="328"/>
      <c r="HF29" s="328"/>
      <c r="HG29" s="328"/>
      <c r="HH29" s="328"/>
      <c r="HI29" s="328"/>
      <c r="HJ29" s="328"/>
      <c r="HK29" s="328"/>
      <c r="HL29" s="328"/>
      <c r="HM29" s="328"/>
      <c r="HN29" s="328"/>
      <c r="HO29" s="328"/>
      <c r="HP29" s="328"/>
      <c r="HQ29" s="328"/>
      <c r="HR29" s="328"/>
      <c r="HS29" s="328"/>
      <c r="HT29" s="328"/>
      <c r="HU29" s="328"/>
      <c r="HV29" s="328"/>
      <c r="HW29" s="328"/>
      <c r="HX29" s="328"/>
      <c r="HY29" s="328"/>
      <c r="HZ29" s="328"/>
      <c r="IA29" s="328"/>
      <c r="IB29" s="328"/>
      <c r="IC29" s="328"/>
      <c r="ID29" s="328"/>
      <c r="IE29" s="328"/>
      <c r="IF29" s="328"/>
      <c r="IG29" s="328"/>
      <c r="IH29" s="328"/>
      <c r="II29" s="328"/>
      <c r="IJ29" s="328"/>
      <c r="IK29" s="328"/>
      <c r="IL29" s="328"/>
      <c r="IM29" s="328"/>
      <c r="IN29" s="328"/>
    </row>
    <row r="30" spans="1:248" customFormat="1" ht="14.45" customHeight="1">
      <c r="A30" s="385" t="s">
        <v>118</v>
      </c>
      <c r="B30" s="338">
        <f>SUM(B31:B34)</f>
        <v>443795</v>
      </c>
      <c r="C30" s="339">
        <f>SUM(C31:C34)</f>
        <v>490337</v>
      </c>
      <c r="D30" s="340">
        <f t="shared" si="5"/>
        <v>10.487274529906825</v>
      </c>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c r="AN30" s="328"/>
      <c r="AO30" s="328"/>
      <c r="AP30" s="328"/>
      <c r="AQ30" s="328"/>
      <c r="AR30" s="328"/>
      <c r="AS30" s="328"/>
      <c r="AT30" s="328"/>
      <c r="AU30" s="328"/>
      <c r="AV30" s="328"/>
      <c r="AW30" s="328"/>
      <c r="AX30" s="328"/>
      <c r="AY30" s="328"/>
      <c r="AZ30" s="328"/>
      <c r="BA30" s="328"/>
      <c r="BB30" s="328"/>
      <c r="BC30" s="328"/>
      <c r="BD30" s="328"/>
      <c r="BE30" s="328"/>
      <c r="BF30" s="328"/>
      <c r="BG30" s="328"/>
      <c r="BH30" s="328"/>
      <c r="BI30" s="328"/>
      <c r="BJ30" s="328"/>
      <c r="BK30" s="328"/>
      <c r="BL30" s="328"/>
      <c r="BM30" s="328"/>
      <c r="BN30" s="328"/>
      <c r="BO30" s="328"/>
      <c r="BP30" s="328"/>
      <c r="BQ30" s="328"/>
      <c r="BR30" s="328"/>
      <c r="BS30" s="328"/>
      <c r="BT30" s="328"/>
      <c r="BU30" s="328"/>
      <c r="BV30" s="328"/>
      <c r="BW30" s="328"/>
      <c r="BX30" s="328"/>
      <c r="BY30" s="328"/>
      <c r="BZ30" s="328"/>
      <c r="CA30" s="328"/>
      <c r="CB30" s="328"/>
      <c r="CC30" s="328"/>
      <c r="CD30" s="328"/>
      <c r="CE30" s="328"/>
      <c r="CF30" s="328"/>
      <c r="CG30" s="328"/>
      <c r="CH30" s="328"/>
      <c r="CI30" s="328"/>
      <c r="CJ30" s="328"/>
      <c r="CK30" s="328"/>
      <c r="CL30" s="328"/>
      <c r="CM30" s="328"/>
      <c r="CN30" s="328"/>
      <c r="CO30" s="328"/>
      <c r="CP30" s="328"/>
      <c r="CQ30" s="328"/>
      <c r="CR30" s="328"/>
      <c r="CS30" s="328"/>
      <c r="CT30" s="328"/>
      <c r="CU30" s="328"/>
      <c r="CV30" s="328"/>
      <c r="CW30" s="328"/>
      <c r="CX30" s="328"/>
      <c r="CY30" s="328"/>
      <c r="CZ30" s="328"/>
      <c r="DA30" s="328"/>
      <c r="DB30" s="328"/>
      <c r="DC30" s="328"/>
      <c r="DD30" s="328"/>
      <c r="DE30" s="328"/>
      <c r="DF30" s="328"/>
      <c r="DG30" s="328"/>
      <c r="DH30" s="328"/>
      <c r="DI30" s="328"/>
      <c r="DJ30" s="328"/>
      <c r="DK30" s="328"/>
      <c r="DL30" s="328"/>
      <c r="DM30" s="328"/>
      <c r="DN30" s="328"/>
      <c r="DO30" s="328"/>
      <c r="DP30" s="328"/>
      <c r="DQ30" s="328"/>
      <c r="DR30" s="328"/>
      <c r="DS30" s="328"/>
      <c r="DT30" s="328"/>
      <c r="DU30" s="328"/>
      <c r="DV30" s="328"/>
      <c r="DW30" s="328"/>
      <c r="DX30" s="328"/>
      <c r="DY30" s="328"/>
      <c r="DZ30" s="328"/>
      <c r="EA30" s="328"/>
      <c r="EB30" s="328"/>
      <c r="EC30" s="328"/>
      <c r="ED30" s="328"/>
      <c r="EE30" s="328"/>
      <c r="EF30" s="328"/>
      <c r="EG30" s="328"/>
      <c r="EH30" s="328"/>
      <c r="EI30" s="328"/>
      <c r="EJ30" s="328"/>
      <c r="EK30" s="328"/>
      <c r="EL30" s="328"/>
      <c r="EM30" s="328"/>
      <c r="EN30" s="328"/>
      <c r="EO30" s="328"/>
      <c r="EP30" s="328"/>
      <c r="EQ30" s="328"/>
      <c r="ER30" s="328"/>
      <c r="ES30" s="328"/>
      <c r="ET30" s="328"/>
      <c r="EU30" s="328"/>
      <c r="EV30" s="328"/>
      <c r="EW30" s="328"/>
      <c r="EX30" s="328"/>
      <c r="EY30" s="328"/>
      <c r="EZ30" s="328"/>
      <c r="FA30" s="328"/>
      <c r="FB30" s="328"/>
      <c r="FC30" s="328"/>
      <c r="FD30" s="328"/>
      <c r="FE30" s="328"/>
      <c r="FF30" s="328"/>
      <c r="FG30" s="328"/>
      <c r="FH30" s="328"/>
      <c r="FI30" s="328"/>
      <c r="FJ30" s="328"/>
      <c r="FK30" s="328"/>
      <c r="FL30" s="328"/>
      <c r="FM30" s="328"/>
      <c r="FN30" s="328"/>
      <c r="FO30" s="328"/>
      <c r="FP30" s="328"/>
      <c r="FQ30" s="328"/>
      <c r="FR30" s="328"/>
      <c r="FS30" s="328"/>
      <c r="FT30" s="328"/>
      <c r="FU30" s="328"/>
      <c r="FV30" s="328"/>
      <c r="FW30" s="328"/>
      <c r="FX30" s="328"/>
      <c r="FY30" s="328"/>
      <c r="FZ30" s="328"/>
      <c r="GA30" s="328"/>
      <c r="GB30" s="328"/>
      <c r="GC30" s="328"/>
      <c r="GD30" s="328"/>
      <c r="GE30" s="328"/>
      <c r="GF30" s="328"/>
      <c r="GG30" s="328"/>
      <c r="GH30" s="328"/>
      <c r="GI30" s="328"/>
      <c r="GJ30" s="328"/>
      <c r="GK30" s="328"/>
      <c r="GL30" s="328"/>
      <c r="GM30" s="328"/>
      <c r="GN30" s="328"/>
      <c r="GO30" s="328"/>
      <c r="GP30" s="328"/>
      <c r="GQ30" s="328"/>
      <c r="GR30" s="328"/>
      <c r="GS30" s="328"/>
      <c r="GT30" s="328"/>
      <c r="GU30" s="328"/>
      <c r="GV30" s="328"/>
      <c r="GW30" s="328"/>
      <c r="GX30" s="328"/>
      <c r="GY30" s="328"/>
      <c r="GZ30" s="328"/>
      <c r="HA30" s="328"/>
      <c r="HB30" s="328"/>
      <c r="HC30" s="328"/>
      <c r="HD30" s="328"/>
      <c r="HE30" s="328"/>
      <c r="HF30" s="328"/>
      <c r="HG30" s="328"/>
      <c r="HH30" s="328"/>
      <c r="HI30" s="328"/>
      <c r="HJ30" s="328"/>
      <c r="HK30" s="328"/>
      <c r="HL30" s="328"/>
      <c r="HM30" s="328"/>
      <c r="HN30" s="328"/>
      <c r="HO30" s="328"/>
      <c r="HP30" s="328"/>
      <c r="HQ30" s="328"/>
      <c r="HR30" s="328"/>
      <c r="HS30" s="328"/>
      <c r="HT30" s="328"/>
      <c r="HU30" s="328"/>
      <c r="HV30" s="328"/>
      <c r="HW30" s="328"/>
      <c r="HX30" s="328"/>
      <c r="HY30" s="328"/>
      <c r="HZ30" s="328"/>
      <c r="IA30" s="328"/>
      <c r="IB30" s="328"/>
      <c r="IC30" s="328"/>
      <c r="ID30" s="328"/>
      <c r="IE30" s="328"/>
      <c r="IF30" s="328"/>
      <c r="IG30" s="328"/>
      <c r="IH30" s="328"/>
      <c r="II30" s="328"/>
      <c r="IJ30" s="328"/>
      <c r="IK30" s="328"/>
      <c r="IL30" s="328"/>
      <c r="IM30" s="328"/>
      <c r="IN30" s="328"/>
    </row>
    <row r="31" spans="1:248" customFormat="1" ht="14.45" customHeight="1">
      <c r="A31" s="346" t="s">
        <v>119</v>
      </c>
      <c r="B31" s="338">
        <v>242320</v>
      </c>
      <c r="C31" s="339">
        <v>262746</v>
      </c>
      <c r="D31" s="340">
        <f t="shared" si="5"/>
        <v>8.429349620336744</v>
      </c>
      <c r="E31" s="328">
        <f>+C5/0.375*0.5</f>
        <v>262745.33333333331</v>
      </c>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328"/>
      <c r="AP31" s="328"/>
      <c r="AQ31" s="328"/>
      <c r="AR31" s="328"/>
      <c r="AS31" s="328"/>
      <c r="AT31" s="328"/>
      <c r="AU31" s="328"/>
      <c r="AV31" s="328"/>
      <c r="AW31" s="328"/>
      <c r="AX31" s="328"/>
      <c r="AY31" s="328"/>
      <c r="AZ31" s="328"/>
      <c r="BA31" s="328"/>
      <c r="BB31" s="328"/>
      <c r="BC31" s="328"/>
      <c r="BD31" s="328"/>
      <c r="BE31" s="328"/>
      <c r="BF31" s="328"/>
      <c r="BG31" s="328"/>
      <c r="BH31" s="328"/>
      <c r="BI31" s="328"/>
      <c r="BJ31" s="328"/>
      <c r="BK31" s="328"/>
      <c r="BL31" s="328"/>
      <c r="BM31" s="328"/>
      <c r="BN31" s="328"/>
      <c r="BO31" s="328"/>
      <c r="BP31" s="328"/>
      <c r="BQ31" s="328"/>
      <c r="BR31" s="328"/>
      <c r="BS31" s="328"/>
      <c r="BT31" s="328"/>
      <c r="BU31" s="328"/>
      <c r="BV31" s="328"/>
      <c r="BW31" s="328"/>
      <c r="BX31" s="328"/>
      <c r="BY31" s="328"/>
      <c r="BZ31" s="328"/>
      <c r="CA31" s="328"/>
      <c r="CB31" s="328"/>
      <c r="CC31" s="328"/>
      <c r="CD31" s="328"/>
      <c r="CE31" s="328"/>
      <c r="CF31" s="328"/>
      <c r="CG31" s="328"/>
      <c r="CH31" s="328"/>
      <c r="CI31" s="328"/>
      <c r="CJ31" s="328"/>
      <c r="CK31" s="328"/>
      <c r="CL31" s="328"/>
      <c r="CM31" s="328"/>
      <c r="CN31" s="328"/>
      <c r="CO31" s="328"/>
      <c r="CP31" s="328"/>
      <c r="CQ31" s="328"/>
      <c r="CR31" s="328"/>
      <c r="CS31" s="328"/>
      <c r="CT31" s="328"/>
      <c r="CU31" s="328"/>
      <c r="CV31" s="328"/>
      <c r="CW31" s="328"/>
      <c r="CX31" s="328"/>
      <c r="CY31" s="328"/>
      <c r="CZ31" s="328"/>
      <c r="DA31" s="328"/>
      <c r="DB31" s="328"/>
      <c r="DC31" s="328"/>
      <c r="DD31" s="328"/>
      <c r="DE31" s="328"/>
      <c r="DF31" s="328"/>
      <c r="DG31" s="328"/>
      <c r="DH31" s="328"/>
      <c r="DI31" s="328"/>
      <c r="DJ31" s="328"/>
      <c r="DK31" s="328"/>
      <c r="DL31" s="328"/>
      <c r="DM31" s="328"/>
      <c r="DN31" s="328"/>
      <c r="DO31" s="328"/>
      <c r="DP31" s="328"/>
      <c r="DQ31" s="328"/>
      <c r="DR31" s="328"/>
      <c r="DS31" s="328"/>
      <c r="DT31" s="328"/>
      <c r="DU31" s="328"/>
      <c r="DV31" s="328"/>
      <c r="DW31" s="328"/>
      <c r="DX31" s="328"/>
      <c r="DY31" s="328"/>
      <c r="DZ31" s="328"/>
      <c r="EA31" s="328"/>
      <c r="EB31" s="328"/>
      <c r="EC31" s="328"/>
      <c r="ED31" s="328"/>
      <c r="EE31" s="328"/>
      <c r="EF31" s="328"/>
      <c r="EG31" s="328"/>
      <c r="EH31" s="328"/>
      <c r="EI31" s="328"/>
      <c r="EJ31" s="328"/>
      <c r="EK31" s="328"/>
      <c r="EL31" s="328"/>
      <c r="EM31" s="328"/>
      <c r="EN31" s="328"/>
      <c r="EO31" s="328"/>
      <c r="EP31" s="328"/>
      <c r="EQ31" s="328"/>
      <c r="ER31" s="328"/>
      <c r="ES31" s="328"/>
      <c r="ET31" s="328"/>
      <c r="EU31" s="328"/>
      <c r="EV31" s="328"/>
      <c r="EW31" s="328"/>
      <c r="EX31" s="328"/>
      <c r="EY31" s="328"/>
      <c r="EZ31" s="328"/>
      <c r="FA31" s="328"/>
      <c r="FB31" s="328"/>
      <c r="FC31" s="328"/>
      <c r="FD31" s="328"/>
      <c r="FE31" s="328"/>
      <c r="FF31" s="328"/>
      <c r="FG31" s="328"/>
      <c r="FH31" s="328"/>
      <c r="FI31" s="328"/>
      <c r="FJ31" s="328"/>
      <c r="FK31" s="328"/>
      <c r="FL31" s="328"/>
      <c r="FM31" s="328"/>
      <c r="FN31" s="328"/>
      <c r="FO31" s="328"/>
      <c r="FP31" s="328"/>
      <c r="FQ31" s="328"/>
      <c r="FR31" s="328"/>
      <c r="FS31" s="328"/>
      <c r="FT31" s="328"/>
      <c r="FU31" s="328"/>
      <c r="FV31" s="328"/>
      <c r="FW31" s="328"/>
      <c r="FX31" s="328"/>
      <c r="FY31" s="328"/>
      <c r="FZ31" s="328"/>
      <c r="GA31" s="328"/>
      <c r="GB31" s="328"/>
      <c r="GC31" s="328"/>
      <c r="GD31" s="328"/>
      <c r="GE31" s="328"/>
      <c r="GF31" s="328"/>
      <c r="GG31" s="328"/>
      <c r="GH31" s="328"/>
      <c r="GI31" s="328"/>
      <c r="GJ31" s="328"/>
      <c r="GK31" s="328"/>
      <c r="GL31" s="328"/>
      <c r="GM31" s="328"/>
      <c r="GN31" s="328"/>
      <c r="GO31" s="328"/>
      <c r="GP31" s="328"/>
      <c r="GQ31" s="328"/>
      <c r="GR31" s="328"/>
      <c r="GS31" s="328"/>
      <c r="GT31" s="328"/>
      <c r="GU31" s="328"/>
      <c r="GV31" s="328"/>
      <c r="GW31" s="328"/>
      <c r="GX31" s="328"/>
      <c r="GY31" s="328"/>
      <c r="GZ31" s="328"/>
      <c r="HA31" s="328"/>
      <c r="HB31" s="328"/>
      <c r="HC31" s="328"/>
      <c r="HD31" s="328"/>
      <c r="HE31" s="328"/>
      <c r="HF31" s="328"/>
      <c r="HG31" s="328"/>
      <c r="HH31" s="328"/>
      <c r="HI31" s="328"/>
      <c r="HJ31" s="328"/>
      <c r="HK31" s="328"/>
      <c r="HL31" s="328"/>
      <c r="HM31" s="328"/>
      <c r="HN31" s="328"/>
      <c r="HO31" s="328"/>
      <c r="HP31" s="328"/>
      <c r="HQ31" s="328"/>
      <c r="HR31" s="328"/>
      <c r="HS31" s="328"/>
      <c r="HT31" s="328"/>
      <c r="HU31" s="328"/>
      <c r="HV31" s="328"/>
      <c r="HW31" s="328"/>
      <c r="HX31" s="328"/>
      <c r="HY31" s="328"/>
      <c r="HZ31" s="328"/>
      <c r="IA31" s="328"/>
      <c r="IB31" s="328"/>
      <c r="IC31" s="328"/>
      <c r="ID31" s="328"/>
      <c r="IE31" s="328"/>
      <c r="IF31" s="328"/>
      <c r="IG31" s="328"/>
      <c r="IH31" s="328"/>
      <c r="II31" s="328"/>
      <c r="IJ31" s="328"/>
      <c r="IK31" s="328"/>
      <c r="IL31" s="328"/>
      <c r="IM31" s="328"/>
      <c r="IN31" s="328"/>
    </row>
    <row r="32" spans="1:248" customFormat="1" ht="14.45" customHeight="1">
      <c r="A32" s="343" t="s">
        <v>120</v>
      </c>
      <c r="B32" s="338">
        <v>2726</v>
      </c>
      <c r="C32" s="339"/>
      <c r="D32" s="340"/>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c r="AW32" s="328"/>
      <c r="AX32" s="328"/>
      <c r="AY32" s="328"/>
      <c r="AZ32" s="328"/>
      <c r="BA32" s="328"/>
      <c r="BB32" s="328"/>
      <c r="BC32" s="328"/>
      <c r="BD32" s="328"/>
      <c r="BE32" s="328"/>
      <c r="BF32" s="328"/>
      <c r="BG32" s="328"/>
      <c r="BH32" s="328"/>
      <c r="BI32" s="328"/>
      <c r="BJ32" s="328"/>
      <c r="BK32" s="328"/>
      <c r="BL32" s="328"/>
      <c r="BM32" s="328"/>
      <c r="BN32" s="328"/>
      <c r="BO32" s="328"/>
      <c r="BP32" s="328"/>
      <c r="BQ32" s="328"/>
      <c r="BR32" s="328"/>
      <c r="BS32" s="328"/>
      <c r="BT32" s="328"/>
      <c r="BU32" s="328"/>
      <c r="BV32" s="328"/>
      <c r="BW32" s="328"/>
      <c r="BX32" s="328"/>
      <c r="BY32" s="328"/>
      <c r="BZ32" s="328"/>
      <c r="CA32" s="328"/>
      <c r="CB32" s="328"/>
      <c r="CC32" s="328"/>
      <c r="CD32" s="328"/>
      <c r="CE32" s="328"/>
      <c r="CF32" s="328"/>
      <c r="CG32" s="328"/>
      <c r="CH32" s="328"/>
      <c r="CI32" s="328"/>
      <c r="CJ32" s="328"/>
      <c r="CK32" s="328"/>
      <c r="CL32" s="328"/>
      <c r="CM32" s="328"/>
      <c r="CN32" s="328"/>
      <c r="CO32" s="328"/>
      <c r="CP32" s="328"/>
      <c r="CQ32" s="328"/>
      <c r="CR32" s="328"/>
      <c r="CS32" s="328"/>
      <c r="CT32" s="328"/>
      <c r="CU32" s="328"/>
      <c r="CV32" s="328"/>
      <c r="CW32" s="328"/>
      <c r="CX32" s="328"/>
      <c r="CY32" s="328"/>
      <c r="CZ32" s="328"/>
      <c r="DA32" s="328"/>
      <c r="DB32" s="328"/>
      <c r="DC32" s="328"/>
      <c r="DD32" s="328"/>
      <c r="DE32" s="328"/>
      <c r="DF32" s="328"/>
      <c r="DG32" s="328"/>
      <c r="DH32" s="328"/>
      <c r="DI32" s="328"/>
      <c r="DJ32" s="328"/>
      <c r="DK32" s="328"/>
      <c r="DL32" s="328"/>
      <c r="DM32" s="328"/>
      <c r="DN32" s="328"/>
      <c r="DO32" s="328"/>
      <c r="DP32" s="328"/>
      <c r="DQ32" s="328"/>
      <c r="DR32" s="328"/>
      <c r="DS32" s="328"/>
      <c r="DT32" s="328"/>
      <c r="DU32" s="328"/>
      <c r="DV32" s="328"/>
      <c r="DW32" s="328"/>
      <c r="DX32" s="328"/>
      <c r="DY32" s="328"/>
      <c r="DZ32" s="328"/>
      <c r="EA32" s="328"/>
      <c r="EB32" s="328"/>
      <c r="EC32" s="328"/>
      <c r="ED32" s="328"/>
      <c r="EE32" s="328"/>
      <c r="EF32" s="328"/>
      <c r="EG32" s="328"/>
      <c r="EH32" s="328"/>
      <c r="EI32" s="328"/>
      <c r="EJ32" s="328"/>
      <c r="EK32" s="328"/>
      <c r="EL32" s="328"/>
      <c r="EM32" s="328"/>
      <c r="EN32" s="328"/>
      <c r="EO32" s="328"/>
      <c r="EP32" s="328"/>
      <c r="EQ32" s="328"/>
      <c r="ER32" s="328"/>
      <c r="ES32" s="328"/>
      <c r="ET32" s="328"/>
      <c r="EU32" s="328"/>
      <c r="EV32" s="328"/>
      <c r="EW32" s="328"/>
      <c r="EX32" s="328"/>
      <c r="EY32" s="328"/>
      <c r="EZ32" s="328"/>
      <c r="FA32" s="328"/>
      <c r="FB32" s="328"/>
      <c r="FC32" s="328"/>
      <c r="FD32" s="328"/>
      <c r="FE32" s="328"/>
      <c r="FF32" s="328"/>
      <c r="FG32" s="328"/>
      <c r="FH32" s="328"/>
      <c r="FI32" s="328"/>
      <c r="FJ32" s="328"/>
      <c r="FK32" s="328"/>
      <c r="FL32" s="328"/>
      <c r="FM32" s="328"/>
      <c r="FN32" s="328"/>
      <c r="FO32" s="328"/>
      <c r="FP32" s="328"/>
      <c r="FQ32" s="328"/>
      <c r="FR32" s="328"/>
      <c r="FS32" s="328"/>
      <c r="FT32" s="328"/>
      <c r="FU32" s="328"/>
      <c r="FV32" s="328"/>
      <c r="FW32" s="328"/>
      <c r="FX32" s="328"/>
      <c r="FY32" s="328"/>
      <c r="FZ32" s="328"/>
      <c r="GA32" s="328"/>
      <c r="GB32" s="328"/>
      <c r="GC32" s="328"/>
      <c r="GD32" s="328"/>
      <c r="GE32" s="328"/>
      <c r="GF32" s="328"/>
      <c r="GG32" s="328"/>
      <c r="GH32" s="328"/>
      <c r="GI32" s="328"/>
      <c r="GJ32" s="328"/>
      <c r="GK32" s="328"/>
      <c r="GL32" s="328"/>
      <c r="GM32" s="328"/>
      <c r="GN32" s="328"/>
      <c r="GO32" s="328"/>
      <c r="GP32" s="328"/>
      <c r="GQ32" s="328"/>
      <c r="GR32" s="328"/>
      <c r="GS32" s="328"/>
      <c r="GT32" s="328"/>
      <c r="GU32" s="328"/>
      <c r="GV32" s="328"/>
      <c r="GW32" s="328"/>
      <c r="GX32" s="328"/>
      <c r="GY32" s="328"/>
      <c r="GZ32" s="328"/>
      <c r="HA32" s="328"/>
      <c r="HB32" s="328"/>
      <c r="HC32" s="328"/>
      <c r="HD32" s="328"/>
      <c r="HE32" s="328"/>
      <c r="HF32" s="328"/>
      <c r="HG32" s="328"/>
      <c r="HH32" s="328"/>
      <c r="HI32" s="328"/>
      <c r="HJ32" s="328"/>
      <c r="HK32" s="328"/>
      <c r="HL32" s="328"/>
      <c r="HM32" s="328"/>
      <c r="HN32" s="328"/>
      <c r="HO32" s="328"/>
      <c r="HP32" s="328"/>
      <c r="HQ32" s="328"/>
      <c r="HR32" s="328"/>
      <c r="HS32" s="328"/>
      <c r="HT32" s="328"/>
      <c r="HU32" s="328"/>
      <c r="HV32" s="328"/>
      <c r="HW32" s="328"/>
      <c r="HX32" s="328"/>
      <c r="HY32" s="328"/>
      <c r="HZ32" s="328"/>
      <c r="IA32" s="328"/>
      <c r="IB32" s="328"/>
      <c r="IC32" s="328"/>
      <c r="ID32" s="328"/>
      <c r="IE32" s="328"/>
      <c r="IF32" s="328"/>
      <c r="IG32" s="328"/>
      <c r="IH32" s="328"/>
      <c r="II32" s="328"/>
      <c r="IJ32" s="328"/>
      <c r="IK32" s="328"/>
      <c r="IL32" s="328"/>
      <c r="IM32" s="328"/>
      <c r="IN32" s="328"/>
    </row>
    <row r="33" spans="1:248" customFormat="1" ht="14.45" customHeight="1">
      <c r="A33" s="346" t="s">
        <v>121</v>
      </c>
      <c r="B33" s="338">
        <v>57797</v>
      </c>
      <c r="C33" s="339">
        <f>58278+12470</f>
        <v>70748</v>
      </c>
      <c r="D33" s="340">
        <f t="shared" ref="D33:D36" si="6">(C33-B33)/B33*100</f>
        <v>22.407737425817949</v>
      </c>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c r="AN33" s="328"/>
      <c r="AO33" s="328"/>
      <c r="AP33" s="328"/>
      <c r="AQ33" s="328"/>
      <c r="AR33" s="328"/>
      <c r="AS33" s="328"/>
      <c r="AT33" s="328"/>
      <c r="AU33" s="328"/>
      <c r="AV33" s="328"/>
      <c r="AW33" s="328"/>
      <c r="AX33" s="328"/>
      <c r="AY33" s="328"/>
      <c r="AZ33" s="328"/>
      <c r="BA33" s="328"/>
      <c r="BB33" s="328"/>
      <c r="BC33" s="328"/>
      <c r="BD33" s="328"/>
      <c r="BE33" s="328"/>
      <c r="BF33" s="328"/>
      <c r="BG33" s="328"/>
      <c r="BH33" s="328"/>
      <c r="BI33" s="328"/>
      <c r="BJ33" s="328"/>
      <c r="BK33" s="328"/>
      <c r="BL33" s="328"/>
      <c r="BM33" s="328"/>
      <c r="BN33" s="328"/>
      <c r="BO33" s="328"/>
      <c r="BP33" s="328"/>
      <c r="BQ33" s="328"/>
      <c r="BR33" s="328"/>
      <c r="BS33" s="328"/>
      <c r="BT33" s="328"/>
      <c r="BU33" s="328"/>
      <c r="BV33" s="328"/>
      <c r="BW33" s="328"/>
      <c r="BX33" s="328"/>
      <c r="BY33" s="328"/>
      <c r="BZ33" s="328"/>
      <c r="CA33" s="328"/>
      <c r="CB33" s="328"/>
      <c r="CC33" s="328"/>
      <c r="CD33" s="328"/>
      <c r="CE33" s="328"/>
      <c r="CF33" s="328"/>
      <c r="CG33" s="328"/>
      <c r="CH33" s="328"/>
      <c r="CI33" s="328"/>
      <c r="CJ33" s="328"/>
      <c r="CK33" s="328"/>
      <c r="CL33" s="328"/>
      <c r="CM33" s="328"/>
      <c r="CN33" s="328"/>
      <c r="CO33" s="328"/>
      <c r="CP33" s="328"/>
      <c r="CQ33" s="328"/>
      <c r="CR33" s="328"/>
      <c r="CS33" s="328"/>
      <c r="CT33" s="328"/>
      <c r="CU33" s="328"/>
      <c r="CV33" s="328"/>
      <c r="CW33" s="328"/>
      <c r="CX33" s="328"/>
      <c r="CY33" s="328"/>
      <c r="CZ33" s="328"/>
      <c r="DA33" s="328"/>
      <c r="DB33" s="328"/>
      <c r="DC33" s="328"/>
      <c r="DD33" s="328"/>
      <c r="DE33" s="328"/>
      <c r="DF33" s="328"/>
      <c r="DG33" s="328"/>
      <c r="DH33" s="328"/>
      <c r="DI33" s="328"/>
      <c r="DJ33" s="328"/>
      <c r="DK33" s="328"/>
      <c r="DL33" s="328"/>
      <c r="DM33" s="328"/>
      <c r="DN33" s="328"/>
      <c r="DO33" s="328"/>
      <c r="DP33" s="328"/>
      <c r="DQ33" s="328"/>
      <c r="DR33" s="328"/>
      <c r="DS33" s="328"/>
      <c r="DT33" s="328"/>
      <c r="DU33" s="328"/>
      <c r="DV33" s="328"/>
      <c r="DW33" s="328"/>
      <c r="DX33" s="328"/>
      <c r="DY33" s="328"/>
      <c r="DZ33" s="328"/>
      <c r="EA33" s="328"/>
      <c r="EB33" s="328"/>
      <c r="EC33" s="328"/>
      <c r="ED33" s="328"/>
      <c r="EE33" s="328"/>
      <c r="EF33" s="328"/>
      <c r="EG33" s="328"/>
      <c r="EH33" s="328"/>
      <c r="EI33" s="328"/>
      <c r="EJ33" s="328"/>
      <c r="EK33" s="328"/>
      <c r="EL33" s="328"/>
      <c r="EM33" s="328"/>
      <c r="EN33" s="328"/>
      <c r="EO33" s="328"/>
      <c r="EP33" s="328"/>
      <c r="EQ33" s="328"/>
      <c r="ER33" s="328"/>
      <c r="ES33" s="328"/>
      <c r="ET33" s="328"/>
      <c r="EU33" s="328"/>
      <c r="EV33" s="328"/>
      <c r="EW33" s="328"/>
      <c r="EX33" s="328"/>
      <c r="EY33" s="328"/>
      <c r="EZ33" s="328"/>
      <c r="FA33" s="328"/>
      <c r="FB33" s="328"/>
      <c r="FC33" s="328"/>
      <c r="FD33" s="328"/>
      <c r="FE33" s="328"/>
      <c r="FF33" s="328"/>
      <c r="FG33" s="328"/>
      <c r="FH33" s="328"/>
      <c r="FI33" s="328"/>
      <c r="FJ33" s="328"/>
      <c r="FK33" s="328"/>
      <c r="FL33" s="328"/>
      <c r="FM33" s="328"/>
      <c r="FN33" s="328"/>
      <c r="FO33" s="328"/>
      <c r="FP33" s="328"/>
      <c r="FQ33" s="328"/>
      <c r="FR33" s="328"/>
      <c r="FS33" s="328"/>
      <c r="FT33" s="328"/>
      <c r="FU33" s="328"/>
      <c r="FV33" s="328"/>
      <c r="FW33" s="328"/>
      <c r="FX33" s="328"/>
      <c r="FY33" s="328"/>
      <c r="FZ33" s="328"/>
      <c r="GA33" s="328"/>
      <c r="GB33" s="328"/>
      <c r="GC33" s="328"/>
      <c r="GD33" s="328"/>
      <c r="GE33" s="328"/>
      <c r="GF33" s="328"/>
      <c r="GG33" s="328"/>
      <c r="GH33" s="328"/>
      <c r="GI33" s="328"/>
      <c r="GJ33" s="328"/>
      <c r="GK33" s="328"/>
      <c r="GL33" s="328"/>
      <c r="GM33" s="328"/>
      <c r="GN33" s="328"/>
      <c r="GO33" s="328"/>
      <c r="GP33" s="328"/>
      <c r="GQ33" s="328"/>
      <c r="GR33" s="328"/>
      <c r="GS33" s="328"/>
      <c r="GT33" s="328"/>
      <c r="GU33" s="328"/>
      <c r="GV33" s="328"/>
      <c r="GW33" s="328"/>
      <c r="GX33" s="328"/>
      <c r="GY33" s="328"/>
      <c r="GZ33" s="328"/>
      <c r="HA33" s="328"/>
      <c r="HB33" s="328"/>
      <c r="HC33" s="328"/>
      <c r="HD33" s="328"/>
      <c r="HE33" s="328"/>
      <c r="HF33" s="328"/>
      <c r="HG33" s="328"/>
      <c r="HH33" s="328"/>
      <c r="HI33" s="328"/>
      <c r="HJ33" s="328"/>
      <c r="HK33" s="328"/>
      <c r="HL33" s="328"/>
      <c r="HM33" s="328"/>
      <c r="HN33" s="328"/>
      <c r="HO33" s="328"/>
      <c r="HP33" s="328"/>
      <c r="HQ33" s="328"/>
      <c r="HR33" s="328"/>
      <c r="HS33" s="328"/>
      <c r="HT33" s="328"/>
      <c r="HU33" s="328"/>
      <c r="HV33" s="328"/>
      <c r="HW33" s="328"/>
      <c r="HX33" s="328"/>
      <c r="HY33" s="328"/>
      <c r="HZ33" s="328"/>
      <c r="IA33" s="328"/>
      <c r="IB33" s="328"/>
      <c r="IC33" s="328"/>
      <c r="ID33" s="328"/>
      <c r="IE33" s="328"/>
      <c r="IF33" s="328"/>
      <c r="IG33" s="328"/>
      <c r="IH33" s="328"/>
      <c r="II33" s="328"/>
      <c r="IJ33" s="328"/>
      <c r="IK33" s="328"/>
      <c r="IL33" s="328"/>
      <c r="IM33" s="328"/>
      <c r="IN33" s="328"/>
    </row>
    <row r="34" spans="1:248" customFormat="1" ht="14.45" customHeight="1">
      <c r="A34" s="346" t="s">
        <v>122</v>
      </c>
      <c r="B34" s="338">
        <v>140952</v>
      </c>
      <c r="C34" s="339">
        <v>156843</v>
      </c>
      <c r="D34" s="340">
        <f t="shared" si="6"/>
        <v>11.274050740677676</v>
      </c>
      <c r="E34" s="328">
        <f>+E7/0.28*0.6</f>
        <v>156842.14285714284</v>
      </c>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8"/>
      <c r="BH34" s="328"/>
      <c r="BI34" s="328"/>
      <c r="BJ34" s="328"/>
      <c r="BK34" s="328"/>
      <c r="BL34" s="328"/>
      <c r="BM34" s="328"/>
      <c r="BN34" s="328"/>
      <c r="BO34" s="328"/>
      <c r="BP34" s="328"/>
      <c r="BQ34" s="328"/>
      <c r="BR34" s="328"/>
      <c r="BS34" s="328"/>
      <c r="BT34" s="328"/>
      <c r="BU34" s="328"/>
      <c r="BV34" s="328"/>
      <c r="BW34" s="328"/>
      <c r="BX34" s="328"/>
      <c r="BY34" s="328"/>
      <c r="BZ34" s="328"/>
      <c r="CA34" s="328"/>
      <c r="CB34" s="328"/>
      <c r="CC34" s="328"/>
      <c r="CD34" s="328"/>
      <c r="CE34" s="328"/>
      <c r="CF34" s="328"/>
      <c r="CG34" s="328"/>
      <c r="CH34" s="328"/>
      <c r="CI34" s="328"/>
      <c r="CJ34" s="328"/>
      <c r="CK34" s="328"/>
      <c r="CL34" s="328"/>
      <c r="CM34" s="328"/>
      <c r="CN34" s="328"/>
      <c r="CO34" s="328"/>
      <c r="CP34" s="328"/>
      <c r="CQ34" s="328"/>
      <c r="CR34" s="328"/>
      <c r="CS34" s="328"/>
      <c r="CT34" s="328"/>
      <c r="CU34" s="328"/>
      <c r="CV34" s="328"/>
      <c r="CW34" s="328"/>
      <c r="CX34" s="328"/>
      <c r="CY34" s="328"/>
      <c r="CZ34" s="328"/>
      <c r="DA34" s="328"/>
      <c r="DB34" s="328"/>
      <c r="DC34" s="328"/>
      <c r="DD34" s="328"/>
      <c r="DE34" s="328"/>
      <c r="DF34" s="328"/>
      <c r="DG34" s="328"/>
      <c r="DH34" s="328"/>
      <c r="DI34" s="328"/>
      <c r="DJ34" s="328"/>
      <c r="DK34" s="328"/>
      <c r="DL34" s="328"/>
      <c r="DM34" s="328"/>
      <c r="DN34" s="328"/>
      <c r="DO34" s="328"/>
      <c r="DP34" s="328"/>
      <c r="DQ34" s="328"/>
      <c r="DR34" s="328"/>
      <c r="DS34" s="328"/>
      <c r="DT34" s="328"/>
      <c r="DU34" s="328"/>
      <c r="DV34" s="328"/>
      <c r="DW34" s="328"/>
      <c r="DX34" s="328"/>
      <c r="DY34" s="328"/>
      <c r="DZ34" s="328"/>
      <c r="EA34" s="328"/>
      <c r="EB34" s="328"/>
      <c r="EC34" s="328"/>
      <c r="ED34" s="328"/>
      <c r="EE34" s="328"/>
      <c r="EF34" s="328"/>
      <c r="EG34" s="328"/>
      <c r="EH34" s="328"/>
      <c r="EI34" s="328"/>
      <c r="EJ34" s="328"/>
      <c r="EK34" s="328"/>
      <c r="EL34" s="328"/>
      <c r="EM34" s="328"/>
      <c r="EN34" s="328"/>
      <c r="EO34" s="328"/>
      <c r="EP34" s="328"/>
      <c r="EQ34" s="328"/>
      <c r="ER34" s="328"/>
      <c r="ES34" s="328"/>
      <c r="ET34" s="328"/>
      <c r="EU34" s="328"/>
      <c r="EV34" s="328"/>
      <c r="EW34" s="328"/>
      <c r="EX34" s="328"/>
      <c r="EY34" s="328"/>
      <c r="EZ34" s="328"/>
      <c r="FA34" s="328"/>
      <c r="FB34" s="328"/>
      <c r="FC34" s="328"/>
      <c r="FD34" s="328"/>
      <c r="FE34" s="328"/>
      <c r="FF34" s="328"/>
      <c r="FG34" s="328"/>
      <c r="FH34" s="328"/>
      <c r="FI34" s="328"/>
      <c r="FJ34" s="328"/>
      <c r="FK34" s="328"/>
      <c r="FL34" s="328"/>
      <c r="FM34" s="328"/>
      <c r="FN34" s="328"/>
      <c r="FO34" s="328"/>
      <c r="FP34" s="328"/>
      <c r="FQ34" s="328"/>
      <c r="FR34" s="328"/>
      <c r="FS34" s="328"/>
      <c r="FT34" s="328"/>
      <c r="FU34" s="328"/>
      <c r="FV34" s="328"/>
      <c r="FW34" s="328"/>
      <c r="FX34" s="328"/>
      <c r="FY34" s="328"/>
      <c r="FZ34" s="328"/>
      <c r="GA34" s="328"/>
      <c r="GB34" s="328"/>
      <c r="GC34" s="328"/>
      <c r="GD34" s="328"/>
      <c r="GE34" s="328"/>
      <c r="GF34" s="328"/>
      <c r="GG34" s="328"/>
      <c r="GH34" s="328"/>
      <c r="GI34" s="328"/>
      <c r="GJ34" s="328"/>
      <c r="GK34" s="328"/>
      <c r="GL34" s="328"/>
      <c r="GM34" s="328"/>
      <c r="GN34" s="328"/>
      <c r="GO34" s="328"/>
      <c r="GP34" s="328"/>
      <c r="GQ34" s="328"/>
      <c r="GR34" s="328"/>
      <c r="GS34" s="328"/>
      <c r="GT34" s="328"/>
      <c r="GU34" s="328"/>
      <c r="GV34" s="328"/>
      <c r="GW34" s="328"/>
      <c r="GX34" s="328"/>
      <c r="GY34" s="328"/>
      <c r="GZ34" s="328"/>
      <c r="HA34" s="328"/>
      <c r="HB34" s="328"/>
      <c r="HC34" s="328"/>
      <c r="HD34" s="328"/>
      <c r="HE34" s="328"/>
      <c r="HF34" s="328"/>
      <c r="HG34" s="328"/>
      <c r="HH34" s="328"/>
      <c r="HI34" s="328"/>
      <c r="HJ34" s="328"/>
      <c r="HK34" s="328"/>
      <c r="HL34" s="328"/>
      <c r="HM34" s="328"/>
      <c r="HN34" s="328"/>
      <c r="HO34" s="328"/>
      <c r="HP34" s="328"/>
      <c r="HQ34" s="328"/>
      <c r="HR34" s="328"/>
      <c r="HS34" s="328"/>
      <c r="HT34" s="328"/>
      <c r="HU34" s="328"/>
      <c r="HV34" s="328"/>
      <c r="HW34" s="328"/>
      <c r="HX34" s="328"/>
      <c r="HY34" s="328"/>
      <c r="HZ34" s="328"/>
      <c r="IA34" s="328"/>
      <c r="IB34" s="328"/>
      <c r="IC34" s="328"/>
      <c r="ID34" s="328"/>
      <c r="IE34" s="328"/>
      <c r="IF34" s="328"/>
      <c r="IG34" s="328"/>
      <c r="IH34" s="328"/>
      <c r="II34" s="328"/>
      <c r="IJ34" s="328"/>
      <c r="IK34" s="328"/>
      <c r="IL34" s="328"/>
      <c r="IM34" s="328"/>
      <c r="IN34" s="328"/>
    </row>
    <row r="35" spans="1:248" customFormat="1" ht="14.45" customHeight="1">
      <c r="A35" s="385" t="s">
        <v>276</v>
      </c>
      <c r="B35" s="339">
        <f>SUM(B36:B41)</f>
        <v>104064</v>
      </c>
      <c r="C35" s="339">
        <f>SUM(C36:C41)</f>
        <v>114202</v>
      </c>
      <c r="D35" s="340">
        <f t="shared" si="6"/>
        <v>9.742081795817958</v>
      </c>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8"/>
      <c r="AY35" s="328"/>
      <c r="AZ35" s="328"/>
      <c r="BA35" s="328"/>
      <c r="BB35" s="328"/>
      <c r="BC35" s="328"/>
      <c r="BD35" s="328"/>
      <c r="BE35" s="328"/>
      <c r="BF35" s="328"/>
      <c r="BG35" s="328"/>
      <c r="BH35" s="328"/>
      <c r="BI35" s="328"/>
      <c r="BJ35" s="328"/>
      <c r="BK35" s="328"/>
      <c r="BL35" s="328"/>
      <c r="BM35" s="328"/>
      <c r="BN35" s="328"/>
      <c r="BO35" s="328"/>
      <c r="BP35" s="328"/>
      <c r="BQ35" s="328"/>
      <c r="BR35" s="328"/>
      <c r="BS35" s="328"/>
      <c r="BT35" s="328"/>
      <c r="BU35" s="328"/>
      <c r="BV35" s="328"/>
      <c r="BW35" s="328"/>
      <c r="BX35" s="328"/>
      <c r="BY35" s="328"/>
      <c r="BZ35" s="328"/>
      <c r="CA35" s="328"/>
      <c r="CB35" s="328"/>
      <c r="CC35" s="328"/>
      <c r="CD35" s="328"/>
      <c r="CE35" s="328"/>
      <c r="CF35" s="328"/>
      <c r="CG35" s="328"/>
      <c r="CH35" s="328"/>
      <c r="CI35" s="328"/>
      <c r="CJ35" s="328"/>
      <c r="CK35" s="328"/>
      <c r="CL35" s="328"/>
      <c r="CM35" s="328"/>
      <c r="CN35" s="328"/>
      <c r="CO35" s="328"/>
      <c r="CP35" s="328"/>
      <c r="CQ35" s="328"/>
      <c r="CR35" s="328"/>
      <c r="CS35" s="328"/>
      <c r="CT35" s="328"/>
      <c r="CU35" s="328"/>
      <c r="CV35" s="328"/>
      <c r="CW35" s="328"/>
      <c r="CX35" s="328"/>
      <c r="CY35" s="328"/>
      <c r="CZ35" s="328"/>
      <c r="DA35" s="328"/>
      <c r="DB35" s="328"/>
      <c r="DC35" s="328"/>
      <c r="DD35" s="328"/>
      <c r="DE35" s="328"/>
      <c r="DF35" s="328"/>
      <c r="DG35" s="328"/>
      <c r="DH35" s="328"/>
      <c r="DI35" s="328"/>
      <c r="DJ35" s="328"/>
      <c r="DK35" s="328"/>
      <c r="DL35" s="328"/>
      <c r="DM35" s="328"/>
      <c r="DN35" s="328"/>
      <c r="DO35" s="328"/>
      <c r="DP35" s="328"/>
      <c r="DQ35" s="328"/>
      <c r="DR35" s="328"/>
      <c r="DS35" s="328"/>
      <c r="DT35" s="328"/>
      <c r="DU35" s="328"/>
      <c r="DV35" s="328"/>
      <c r="DW35" s="328"/>
      <c r="DX35" s="328"/>
      <c r="DY35" s="328"/>
      <c r="DZ35" s="328"/>
      <c r="EA35" s="328"/>
      <c r="EB35" s="328"/>
      <c r="EC35" s="328"/>
      <c r="ED35" s="328"/>
      <c r="EE35" s="328"/>
      <c r="EF35" s="328"/>
      <c r="EG35" s="328"/>
      <c r="EH35" s="328"/>
      <c r="EI35" s="328"/>
      <c r="EJ35" s="328"/>
      <c r="EK35" s="328"/>
      <c r="EL35" s="328"/>
      <c r="EM35" s="328"/>
      <c r="EN35" s="328"/>
      <c r="EO35" s="328"/>
      <c r="EP35" s="328"/>
      <c r="EQ35" s="328"/>
      <c r="ER35" s="328"/>
      <c r="ES35" s="328"/>
      <c r="ET35" s="328"/>
      <c r="EU35" s="328"/>
      <c r="EV35" s="328"/>
      <c r="EW35" s="328"/>
      <c r="EX35" s="328"/>
      <c r="EY35" s="328"/>
      <c r="EZ35" s="328"/>
      <c r="FA35" s="328"/>
      <c r="FB35" s="328"/>
      <c r="FC35" s="328"/>
      <c r="FD35" s="328"/>
      <c r="FE35" s="328"/>
      <c r="FF35" s="328"/>
      <c r="FG35" s="328"/>
      <c r="FH35" s="328"/>
      <c r="FI35" s="328"/>
      <c r="FJ35" s="328"/>
      <c r="FK35" s="328"/>
      <c r="FL35" s="328"/>
      <c r="FM35" s="328"/>
      <c r="FN35" s="328"/>
      <c r="FO35" s="328"/>
      <c r="FP35" s="328"/>
      <c r="FQ35" s="328"/>
      <c r="FR35" s="328"/>
      <c r="FS35" s="328"/>
      <c r="FT35" s="328"/>
      <c r="FU35" s="328"/>
      <c r="FV35" s="328"/>
      <c r="FW35" s="328"/>
      <c r="FX35" s="328"/>
      <c r="FY35" s="328"/>
      <c r="FZ35" s="328"/>
      <c r="GA35" s="328"/>
      <c r="GB35" s="328"/>
      <c r="GC35" s="328"/>
      <c r="GD35" s="328"/>
      <c r="GE35" s="328"/>
      <c r="GF35" s="328"/>
      <c r="GG35" s="328"/>
      <c r="GH35" s="328"/>
      <c r="GI35" s="328"/>
      <c r="GJ35" s="328"/>
      <c r="GK35" s="328"/>
      <c r="GL35" s="328"/>
      <c r="GM35" s="328"/>
      <c r="GN35" s="328"/>
      <c r="GO35" s="328"/>
      <c r="GP35" s="328"/>
      <c r="GQ35" s="328"/>
      <c r="GR35" s="328"/>
      <c r="GS35" s="328"/>
      <c r="GT35" s="328"/>
      <c r="GU35" s="328"/>
      <c r="GV35" s="328"/>
      <c r="GW35" s="328"/>
      <c r="GX35" s="328"/>
      <c r="GY35" s="328"/>
      <c r="GZ35" s="328"/>
      <c r="HA35" s="328"/>
      <c r="HB35" s="328"/>
      <c r="HC35" s="328"/>
      <c r="HD35" s="328"/>
      <c r="HE35" s="328"/>
      <c r="HF35" s="328"/>
      <c r="HG35" s="328"/>
      <c r="HH35" s="328"/>
      <c r="HI35" s="328"/>
      <c r="HJ35" s="328"/>
      <c r="HK35" s="328"/>
      <c r="HL35" s="328"/>
      <c r="HM35" s="328"/>
      <c r="HN35" s="328"/>
      <c r="HO35" s="328"/>
      <c r="HP35" s="328"/>
      <c r="HQ35" s="328"/>
      <c r="HR35" s="328"/>
      <c r="HS35" s="328"/>
      <c r="HT35" s="328"/>
      <c r="HU35" s="328"/>
      <c r="HV35" s="328"/>
      <c r="HW35" s="328"/>
      <c r="HX35" s="328"/>
      <c r="HY35" s="328"/>
      <c r="HZ35" s="328"/>
      <c r="IA35" s="328"/>
      <c r="IB35" s="328"/>
      <c r="IC35" s="328"/>
      <c r="ID35" s="328"/>
      <c r="IE35" s="328"/>
      <c r="IF35" s="328"/>
      <c r="IG35" s="328"/>
      <c r="IH35" s="328"/>
      <c r="II35" s="328"/>
      <c r="IJ35" s="328"/>
      <c r="IK35" s="328"/>
      <c r="IL35" s="328"/>
      <c r="IM35" s="328"/>
      <c r="IN35" s="328"/>
    </row>
    <row r="36" spans="1:248" customFormat="1" ht="14.45" customHeight="1">
      <c r="A36" s="346" t="s">
        <v>124</v>
      </c>
      <c r="B36" s="338">
        <v>60580</v>
      </c>
      <c r="C36" s="339">
        <v>65686</v>
      </c>
      <c r="D36" s="340">
        <f t="shared" si="6"/>
        <v>8.4285242654341364</v>
      </c>
      <c r="E36" s="328">
        <f>+C5/0.375*0.125</f>
        <v>65686.333333333328</v>
      </c>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c r="AN36" s="328"/>
      <c r="AO36" s="328"/>
      <c r="AP36" s="328"/>
      <c r="AQ36" s="328"/>
      <c r="AR36" s="328"/>
      <c r="AS36" s="328"/>
      <c r="AT36" s="328"/>
      <c r="AU36" s="328"/>
      <c r="AV36" s="328"/>
      <c r="AW36" s="328"/>
      <c r="AX36" s="328"/>
      <c r="AY36" s="328"/>
      <c r="AZ36" s="328"/>
      <c r="BA36" s="328"/>
      <c r="BB36" s="328"/>
      <c r="BC36" s="328"/>
      <c r="BD36" s="328"/>
      <c r="BE36" s="328"/>
      <c r="BF36" s="328"/>
      <c r="BG36" s="328"/>
      <c r="BH36" s="328"/>
      <c r="BI36" s="328"/>
      <c r="BJ36" s="328"/>
      <c r="BK36" s="328"/>
      <c r="BL36" s="328"/>
      <c r="BM36" s="328"/>
      <c r="BN36" s="328"/>
      <c r="BO36" s="328"/>
      <c r="BP36" s="328"/>
      <c r="BQ36" s="328"/>
      <c r="BR36" s="328"/>
      <c r="BS36" s="328"/>
      <c r="BT36" s="328"/>
      <c r="BU36" s="328"/>
      <c r="BV36" s="328"/>
      <c r="BW36" s="328"/>
      <c r="BX36" s="328"/>
      <c r="BY36" s="328"/>
      <c r="BZ36" s="328"/>
      <c r="CA36" s="328"/>
      <c r="CB36" s="328"/>
      <c r="CC36" s="328"/>
      <c r="CD36" s="328"/>
      <c r="CE36" s="328"/>
      <c r="CF36" s="328"/>
      <c r="CG36" s="328"/>
      <c r="CH36" s="328"/>
      <c r="CI36" s="328"/>
      <c r="CJ36" s="328"/>
      <c r="CK36" s="328"/>
      <c r="CL36" s="328"/>
      <c r="CM36" s="328"/>
      <c r="CN36" s="328"/>
      <c r="CO36" s="328"/>
      <c r="CP36" s="328"/>
      <c r="CQ36" s="328"/>
      <c r="CR36" s="328"/>
      <c r="CS36" s="328"/>
      <c r="CT36" s="328"/>
      <c r="CU36" s="328"/>
      <c r="CV36" s="328"/>
      <c r="CW36" s="328"/>
      <c r="CX36" s="328"/>
      <c r="CY36" s="328"/>
      <c r="CZ36" s="328"/>
      <c r="DA36" s="328"/>
      <c r="DB36" s="328"/>
      <c r="DC36" s="328"/>
      <c r="DD36" s="328"/>
      <c r="DE36" s="328"/>
      <c r="DF36" s="328"/>
      <c r="DG36" s="328"/>
      <c r="DH36" s="328"/>
      <c r="DI36" s="328"/>
      <c r="DJ36" s="328"/>
      <c r="DK36" s="328"/>
      <c r="DL36" s="328"/>
      <c r="DM36" s="328"/>
      <c r="DN36" s="328"/>
      <c r="DO36" s="328"/>
      <c r="DP36" s="328"/>
      <c r="DQ36" s="328"/>
      <c r="DR36" s="328"/>
      <c r="DS36" s="328"/>
      <c r="DT36" s="328"/>
      <c r="DU36" s="328"/>
      <c r="DV36" s="328"/>
      <c r="DW36" s="328"/>
      <c r="DX36" s="328"/>
      <c r="DY36" s="328"/>
      <c r="DZ36" s="328"/>
      <c r="EA36" s="328"/>
      <c r="EB36" s="328"/>
      <c r="EC36" s="328"/>
      <c r="ED36" s="328"/>
      <c r="EE36" s="328"/>
      <c r="EF36" s="328"/>
      <c r="EG36" s="328"/>
      <c r="EH36" s="328"/>
      <c r="EI36" s="328"/>
      <c r="EJ36" s="328"/>
      <c r="EK36" s="328"/>
      <c r="EL36" s="328"/>
      <c r="EM36" s="328"/>
      <c r="EN36" s="328"/>
      <c r="EO36" s="328"/>
      <c r="EP36" s="328"/>
      <c r="EQ36" s="328"/>
      <c r="ER36" s="328"/>
      <c r="ES36" s="328"/>
      <c r="ET36" s="328"/>
      <c r="EU36" s="328"/>
      <c r="EV36" s="328"/>
      <c r="EW36" s="328"/>
      <c r="EX36" s="328"/>
      <c r="EY36" s="328"/>
      <c r="EZ36" s="328"/>
      <c r="FA36" s="328"/>
      <c r="FB36" s="328"/>
      <c r="FC36" s="328"/>
      <c r="FD36" s="328"/>
      <c r="FE36" s="328"/>
      <c r="FF36" s="328"/>
      <c r="FG36" s="328"/>
      <c r="FH36" s="328"/>
      <c r="FI36" s="328"/>
      <c r="FJ36" s="328"/>
      <c r="FK36" s="328"/>
      <c r="FL36" s="328"/>
      <c r="FM36" s="328"/>
      <c r="FN36" s="328"/>
      <c r="FO36" s="328"/>
      <c r="FP36" s="328"/>
      <c r="FQ36" s="328"/>
      <c r="FR36" s="328"/>
      <c r="FS36" s="328"/>
      <c r="FT36" s="328"/>
      <c r="FU36" s="328"/>
      <c r="FV36" s="328"/>
      <c r="FW36" s="328"/>
      <c r="FX36" s="328"/>
      <c r="FY36" s="328"/>
      <c r="FZ36" s="328"/>
      <c r="GA36" s="328"/>
      <c r="GB36" s="328"/>
      <c r="GC36" s="328"/>
      <c r="GD36" s="328"/>
      <c r="GE36" s="328"/>
      <c r="GF36" s="328"/>
      <c r="GG36" s="328"/>
      <c r="GH36" s="328"/>
      <c r="GI36" s="328"/>
      <c r="GJ36" s="328"/>
      <c r="GK36" s="328"/>
      <c r="GL36" s="328"/>
      <c r="GM36" s="328"/>
      <c r="GN36" s="328"/>
      <c r="GO36" s="328"/>
      <c r="GP36" s="328"/>
      <c r="GQ36" s="328"/>
      <c r="GR36" s="328"/>
      <c r="GS36" s="328"/>
      <c r="GT36" s="328"/>
      <c r="GU36" s="328"/>
      <c r="GV36" s="328"/>
      <c r="GW36" s="328"/>
      <c r="GX36" s="328"/>
      <c r="GY36" s="328"/>
      <c r="GZ36" s="328"/>
      <c r="HA36" s="328"/>
      <c r="HB36" s="328"/>
      <c r="HC36" s="328"/>
      <c r="HD36" s="328"/>
      <c r="HE36" s="328"/>
      <c r="HF36" s="328"/>
      <c r="HG36" s="328"/>
      <c r="HH36" s="328"/>
      <c r="HI36" s="328"/>
      <c r="HJ36" s="328"/>
      <c r="HK36" s="328"/>
      <c r="HL36" s="328"/>
      <c r="HM36" s="328"/>
      <c r="HN36" s="328"/>
      <c r="HO36" s="328"/>
      <c r="HP36" s="328"/>
      <c r="HQ36" s="328"/>
      <c r="HR36" s="328"/>
      <c r="HS36" s="328"/>
      <c r="HT36" s="328"/>
      <c r="HU36" s="328"/>
      <c r="HV36" s="328"/>
      <c r="HW36" s="328"/>
      <c r="HX36" s="328"/>
      <c r="HY36" s="328"/>
      <c r="HZ36" s="328"/>
      <c r="IA36" s="328"/>
      <c r="IB36" s="328"/>
      <c r="IC36" s="328"/>
      <c r="ID36" s="328"/>
      <c r="IE36" s="328"/>
      <c r="IF36" s="328"/>
      <c r="IG36" s="328"/>
      <c r="IH36" s="328"/>
      <c r="II36" s="328"/>
      <c r="IJ36" s="328"/>
      <c r="IK36" s="328"/>
      <c r="IL36" s="328"/>
      <c r="IM36" s="328"/>
      <c r="IN36" s="328"/>
    </row>
    <row r="37" spans="1:248" customFormat="1" ht="14.45" customHeight="1">
      <c r="A37" s="385" t="s">
        <v>277</v>
      </c>
      <c r="B37" s="338">
        <v>683</v>
      </c>
      <c r="C37" s="339"/>
      <c r="D37" s="340"/>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c r="AN37" s="328"/>
      <c r="AO37" s="328"/>
      <c r="AP37" s="328"/>
      <c r="AQ37" s="328"/>
      <c r="AR37" s="328"/>
      <c r="AS37" s="328"/>
      <c r="AT37" s="328"/>
      <c r="AU37" s="328"/>
      <c r="AV37" s="328"/>
      <c r="AW37" s="328"/>
      <c r="AX37" s="328"/>
      <c r="AY37" s="328"/>
      <c r="AZ37" s="328"/>
      <c r="BA37" s="328"/>
      <c r="BB37" s="328"/>
      <c r="BC37" s="328"/>
      <c r="BD37" s="328"/>
      <c r="BE37" s="328"/>
      <c r="BF37" s="328"/>
      <c r="BG37" s="328"/>
      <c r="BH37" s="328"/>
      <c r="BI37" s="328"/>
      <c r="BJ37" s="328"/>
      <c r="BK37" s="328"/>
      <c r="BL37" s="328"/>
      <c r="BM37" s="328"/>
      <c r="BN37" s="328"/>
      <c r="BO37" s="328"/>
      <c r="BP37" s="328"/>
      <c r="BQ37" s="328"/>
      <c r="BR37" s="328"/>
      <c r="BS37" s="328"/>
      <c r="BT37" s="328"/>
      <c r="BU37" s="328"/>
      <c r="BV37" s="328"/>
      <c r="BW37" s="328"/>
      <c r="BX37" s="328"/>
      <c r="BY37" s="328"/>
      <c r="BZ37" s="328"/>
      <c r="CA37" s="328"/>
      <c r="CB37" s="328"/>
      <c r="CC37" s="328"/>
      <c r="CD37" s="328"/>
      <c r="CE37" s="328"/>
      <c r="CF37" s="328"/>
      <c r="CG37" s="328"/>
      <c r="CH37" s="328"/>
      <c r="CI37" s="328"/>
      <c r="CJ37" s="328"/>
      <c r="CK37" s="328"/>
      <c r="CL37" s="328"/>
      <c r="CM37" s="328"/>
      <c r="CN37" s="328"/>
      <c r="CO37" s="328"/>
      <c r="CP37" s="328"/>
      <c r="CQ37" s="328"/>
      <c r="CR37" s="328"/>
      <c r="CS37" s="328"/>
      <c r="CT37" s="328"/>
      <c r="CU37" s="328"/>
      <c r="CV37" s="328"/>
      <c r="CW37" s="328"/>
      <c r="CX37" s="328"/>
      <c r="CY37" s="328"/>
      <c r="CZ37" s="328"/>
      <c r="DA37" s="328"/>
      <c r="DB37" s="328"/>
      <c r="DC37" s="328"/>
      <c r="DD37" s="328"/>
      <c r="DE37" s="328"/>
      <c r="DF37" s="328"/>
      <c r="DG37" s="328"/>
      <c r="DH37" s="328"/>
      <c r="DI37" s="328"/>
      <c r="DJ37" s="328"/>
      <c r="DK37" s="328"/>
      <c r="DL37" s="328"/>
      <c r="DM37" s="328"/>
      <c r="DN37" s="328"/>
      <c r="DO37" s="328"/>
      <c r="DP37" s="328"/>
      <c r="DQ37" s="328"/>
      <c r="DR37" s="328"/>
      <c r="DS37" s="328"/>
      <c r="DT37" s="328"/>
      <c r="DU37" s="328"/>
      <c r="DV37" s="328"/>
      <c r="DW37" s="328"/>
      <c r="DX37" s="328"/>
      <c r="DY37" s="328"/>
      <c r="DZ37" s="328"/>
      <c r="EA37" s="328"/>
      <c r="EB37" s="328"/>
      <c r="EC37" s="328"/>
      <c r="ED37" s="328"/>
      <c r="EE37" s="328"/>
      <c r="EF37" s="328"/>
      <c r="EG37" s="328"/>
      <c r="EH37" s="328"/>
      <c r="EI37" s="328"/>
      <c r="EJ37" s="328"/>
      <c r="EK37" s="328"/>
      <c r="EL37" s="328"/>
      <c r="EM37" s="328"/>
      <c r="EN37" s="328"/>
      <c r="EO37" s="328"/>
      <c r="EP37" s="328"/>
      <c r="EQ37" s="328"/>
      <c r="ER37" s="328"/>
      <c r="ES37" s="328"/>
      <c r="ET37" s="328"/>
      <c r="EU37" s="328"/>
      <c r="EV37" s="328"/>
      <c r="EW37" s="328"/>
      <c r="EX37" s="328"/>
      <c r="EY37" s="328"/>
      <c r="EZ37" s="328"/>
      <c r="FA37" s="328"/>
      <c r="FB37" s="328"/>
      <c r="FC37" s="328"/>
      <c r="FD37" s="328"/>
      <c r="FE37" s="328"/>
      <c r="FF37" s="328"/>
      <c r="FG37" s="328"/>
      <c r="FH37" s="328"/>
      <c r="FI37" s="328"/>
      <c r="FJ37" s="328"/>
      <c r="FK37" s="328"/>
      <c r="FL37" s="328"/>
      <c r="FM37" s="328"/>
      <c r="FN37" s="328"/>
      <c r="FO37" s="328"/>
      <c r="FP37" s="328"/>
      <c r="FQ37" s="328"/>
      <c r="FR37" s="328"/>
      <c r="FS37" s="328"/>
      <c r="FT37" s="328"/>
      <c r="FU37" s="328"/>
      <c r="FV37" s="328"/>
      <c r="FW37" s="328"/>
      <c r="FX37" s="328"/>
      <c r="FY37" s="328"/>
      <c r="FZ37" s="328"/>
      <c r="GA37" s="328"/>
      <c r="GB37" s="328"/>
      <c r="GC37" s="328"/>
      <c r="GD37" s="328"/>
      <c r="GE37" s="328"/>
      <c r="GF37" s="328"/>
      <c r="GG37" s="328"/>
      <c r="GH37" s="328"/>
      <c r="GI37" s="328"/>
      <c r="GJ37" s="328"/>
      <c r="GK37" s="328"/>
      <c r="GL37" s="328"/>
      <c r="GM37" s="328"/>
      <c r="GN37" s="328"/>
      <c r="GO37" s="328"/>
      <c r="GP37" s="328"/>
      <c r="GQ37" s="328"/>
      <c r="GR37" s="328"/>
      <c r="GS37" s="328"/>
      <c r="GT37" s="328"/>
      <c r="GU37" s="328"/>
      <c r="GV37" s="328"/>
      <c r="GW37" s="328"/>
      <c r="GX37" s="328"/>
      <c r="GY37" s="328"/>
      <c r="GZ37" s="328"/>
      <c r="HA37" s="328"/>
      <c r="HB37" s="328"/>
      <c r="HC37" s="328"/>
      <c r="HD37" s="328"/>
      <c r="HE37" s="328"/>
      <c r="HF37" s="328"/>
      <c r="HG37" s="328"/>
      <c r="HH37" s="328"/>
      <c r="HI37" s="328"/>
      <c r="HJ37" s="328"/>
      <c r="HK37" s="328"/>
      <c r="HL37" s="328"/>
      <c r="HM37" s="328"/>
      <c r="HN37" s="328"/>
      <c r="HO37" s="328"/>
      <c r="HP37" s="328"/>
      <c r="HQ37" s="328"/>
      <c r="HR37" s="328"/>
      <c r="HS37" s="328"/>
      <c r="HT37" s="328"/>
      <c r="HU37" s="328"/>
      <c r="HV37" s="328"/>
      <c r="HW37" s="328"/>
      <c r="HX37" s="328"/>
      <c r="HY37" s="328"/>
      <c r="HZ37" s="328"/>
      <c r="IA37" s="328"/>
      <c r="IB37" s="328"/>
      <c r="IC37" s="328"/>
      <c r="ID37" s="328"/>
      <c r="IE37" s="328"/>
      <c r="IF37" s="328"/>
      <c r="IG37" s="328"/>
      <c r="IH37" s="328"/>
      <c r="II37" s="328"/>
      <c r="IJ37" s="328"/>
      <c r="IK37" s="328"/>
      <c r="IL37" s="328"/>
      <c r="IM37" s="328"/>
      <c r="IN37" s="328"/>
    </row>
    <row r="38" spans="1:248" customFormat="1" ht="14.45" customHeight="1">
      <c r="A38" s="346" t="s">
        <v>126</v>
      </c>
      <c r="B38" s="338">
        <v>28189</v>
      </c>
      <c r="C38" s="339">
        <v>31369</v>
      </c>
      <c r="D38" s="340">
        <f t="shared" ref="D38:D40" si="7">(C38-B38)/B38*100</f>
        <v>11.280996133243464</v>
      </c>
      <c r="E38" s="328">
        <f>+E7/0.28*0.12</f>
        <v>31368.428571428565</v>
      </c>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c r="AN38" s="328"/>
      <c r="AO38" s="328"/>
      <c r="AP38" s="328"/>
      <c r="AQ38" s="328"/>
      <c r="AR38" s="328"/>
      <c r="AS38" s="328"/>
      <c r="AT38" s="328"/>
      <c r="AU38" s="328"/>
      <c r="AV38" s="328"/>
      <c r="AW38" s="328"/>
      <c r="AX38" s="328"/>
      <c r="AY38" s="328"/>
      <c r="AZ38" s="328"/>
      <c r="BA38" s="328"/>
      <c r="BB38" s="328"/>
      <c r="BC38" s="328"/>
      <c r="BD38" s="328"/>
      <c r="BE38" s="328"/>
      <c r="BF38" s="328"/>
      <c r="BG38" s="328"/>
      <c r="BH38" s="328"/>
      <c r="BI38" s="328"/>
      <c r="BJ38" s="328"/>
      <c r="BK38" s="328"/>
      <c r="BL38" s="328"/>
      <c r="BM38" s="328"/>
      <c r="BN38" s="328"/>
      <c r="BO38" s="328"/>
      <c r="BP38" s="328"/>
      <c r="BQ38" s="328"/>
      <c r="BR38" s="328"/>
      <c r="BS38" s="328"/>
      <c r="BT38" s="328"/>
      <c r="BU38" s="328"/>
      <c r="BV38" s="328"/>
      <c r="BW38" s="328"/>
      <c r="BX38" s="328"/>
      <c r="BY38" s="328"/>
      <c r="BZ38" s="328"/>
      <c r="CA38" s="328"/>
      <c r="CB38" s="328"/>
      <c r="CC38" s="328"/>
      <c r="CD38" s="328"/>
      <c r="CE38" s="328"/>
      <c r="CF38" s="328"/>
      <c r="CG38" s="328"/>
      <c r="CH38" s="328"/>
      <c r="CI38" s="328"/>
      <c r="CJ38" s="328"/>
      <c r="CK38" s="328"/>
      <c r="CL38" s="328"/>
      <c r="CM38" s="328"/>
      <c r="CN38" s="328"/>
      <c r="CO38" s="328"/>
      <c r="CP38" s="328"/>
      <c r="CQ38" s="328"/>
      <c r="CR38" s="328"/>
      <c r="CS38" s="328"/>
      <c r="CT38" s="328"/>
      <c r="CU38" s="328"/>
      <c r="CV38" s="328"/>
      <c r="CW38" s="328"/>
      <c r="CX38" s="328"/>
      <c r="CY38" s="328"/>
      <c r="CZ38" s="328"/>
      <c r="DA38" s="328"/>
      <c r="DB38" s="328"/>
      <c r="DC38" s="328"/>
      <c r="DD38" s="328"/>
      <c r="DE38" s="328"/>
      <c r="DF38" s="328"/>
      <c r="DG38" s="328"/>
      <c r="DH38" s="328"/>
      <c r="DI38" s="328"/>
      <c r="DJ38" s="328"/>
      <c r="DK38" s="328"/>
      <c r="DL38" s="328"/>
      <c r="DM38" s="328"/>
      <c r="DN38" s="328"/>
      <c r="DO38" s="328"/>
      <c r="DP38" s="328"/>
      <c r="DQ38" s="328"/>
      <c r="DR38" s="328"/>
      <c r="DS38" s="328"/>
      <c r="DT38" s="328"/>
      <c r="DU38" s="328"/>
      <c r="DV38" s="328"/>
      <c r="DW38" s="328"/>
      <c r="DX38" s="328"/>
      <c r="DY38" s="328"/>
      <c r="DZ38" s="328"/>
      <c r="EA38" s="328"/>
      <c r="EB38" s="328"/>
      <c r="EC38" s="328"/>
      <c r="ED38" s="328"/>
      <c r="EE38" s="328"/>
      <c r="EF38" s="328"/>
      <c r="EG38" s="328"/>
      <c r="EH38" s="328"/>
      <c r="EI38" s="328"/>
      <c r="EJ38" s="328"/>
      <c r="EK38" s="328"/>
      <c r="EL38" s="328"/>
      <c r="EM38" s="328"/>
      <c r="EN38" s="328"/>
      <c r="EO38" s="328"/>
      <c r="EP38" s="328"/>
      <c r="EQ38" s="328"/>
      <c r="ER38" s="328"/>
      <c r="ES38" s="328"/>
      <c r="ET38" s="328"/>
      <c r="EU38" s="328"/>
      <c r="EV38" s="328"/>
      <c r="EW38" s="328"/>
      <c r="EX38" s="328"/>
      <c r="EY38" s="328"/>
      <c r="EZ38" s="328"/>
      <c r="FA38" s="328"/>
      <c r="FB38" s="328"/>
      <c r="FC38" s="328"/>
      <c r="FD38" s="328"/>
      <c r="FE38" s="328"/>
      <c r="FF38" s="328"/>
      <c r="FG38" s="328"/>
      <c r="FH38" s="328"/>
      <c r="FI38" s="328"/>
      <c r="FJ38" s="328"/>
      <c r="FK38" s="328"/>
      <c r="FL38" s="328"/>
      <c r="FM38" s="328"/>
      <c r="FN38" s="328"/>
      <c r="FO38" s="328"/>
      <c r="FP38" s="328"/>
      <c r="FQ38" s="328"/>
      <c r="FR38" s="328"/>
      <c r="FS38" s="328"/>
      <c r="FT38" s="328"/>
      <c r="FU38" s="328"/>
      <c r="FV38" s="328"/>
      <c r="FW38" s="328"/>
      <c r="FX38" s="328"/>
      <c r="FY38" s="328"/>
      <c r="FZ38" s="328"/>
      <c r="GA38" s="328"/>
      <c r="GB38" s="328"/>
      <c r="GC38" s="328"/>
      <c r="GD38" s="328"/>
      <c r="GE38" s="328"/>
      <c r="GF38" s="328"/>
      <c r="GG38" s="328"/>
      <c r="GH38" s="328"/>
      <c r="GI38" s="328"/>
      <c r="GJ38" s="328"/>
      <c r="GK38" s="328"/>
      <c r="GL38" s="328"/>
      <c r="GM38" s="328"/>
      <c r="GN38" s="328"/>
      <c r="GO38" s="328"/>
      <c r="GP38" s="328"/>
      <c r="GQ38" s="328"/>
      <c r="GR38" s="328"/>
      <c r="GS38" s="328"/>
      <c r="GT38" s="328"/>
      <c r="GU38" s="328"/>
      <c r="GV38" s="328"/>
      <c r="GW38" s="328"/>
      <c r="GX38" s="328"/>
      <c r="GY38" s="328"/>
      <c r="GZ38" s="328"/>
      <c r="HA38" s="328"/>
      <c r="HB38" s="328"/>
      <c r="HC38" s="328"/>
      <c r="HD38" s="328"/>
      <c r="HE38" s="328"/>
      <c r="HF38" s="328"/>
      <c r="HG38" s="328"/>
      <c r="HH38" s="328"/>
      <c r="HI38" s="328"/>
      <c r="HJ38" s="328"/>
      <c r="HK38" s="328"/>
      <c r="HL38" s="328"/>
      <c r="HM38" s="328"/>
      <c r="HN38" s="328"/>
      <c r="HO38" s="328"/>
      <c r="HP38" s="328"/>
      <c r="HQ38" s="328"/>
      <c r="HR38" s="328"/>
      <c r="HS38" s="328"/>
      <c r="HT38" s="328"/>
      <c r="HU38" s="328"/>
      <c r="HV38" s="328"/>
      <c r="HW38" s="328"/>
      <c r="HX38" s="328"/>
      <c r="HY38" s="328"/>
      <c r="HZ38" s="328"/>
      <c r="IA38" s="328"/>
      <c r="IB38" s="328"/>
      <c r="IC38" s="328"/>
      <c r="ID38" s="328"/>
      <c r="IE38" s="328"/>
      <c r="IF38" s="328"/>
      <c r="IG38" s="328"/>
      <c r="IH38" s="328"/>
      <c r="II38" s="328"/>
      <c r="IJ38" s="328"/>
      <c r="IK38" s="328"/>
      <c r="IL38" s="328"/>
      <c r="IM38" s="328"/>
      <c r="IN38" s="328"/>
    </row>
    <row r="39" spans="1:248" customFormat="1" ht="14.45" customHeight="1">
      <c r="A39" s="346" t="s">
        <v>127</v>
      </c>
      <c r="B39" s="338">
        <v>696</v>
      </c>
      <c r="C39" s="339">
        <v>829</v>
      </c>
      <c r="D39" s="340">
        <f t="shared" si="7"/>
        <v>19.109195402298852</v>
      </c>
      <c r="E39" s="328">
        <f>+C10/3</f>
        <v>828.66666666666663</v>
      </c>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8"/>
      <c r="AP39" s="328"/>
      <c r="AQ39" s="328"/>
      <c r="AR39" s="328"/>
      <c r="AS39" s="328"/>
      <c r="AT39" s="328"/>
      <c r="AU39" s="328"/>
      <c r="AV39" s="328"/>
      <c r="AW39" s="328"/>
      <c r="AX39" s="328"/>
      <c r="AY39" s="328"/>
      <c r="AZ39" s="328"/>
      <c r="BA39" s="328"/>
      <c r="BB39" s="328"/>
      <c r="BC39" s="328"/>
      <c r="BD39" s="328"/>
      <c r="BE39" s="328"/>
      <c r="BF39" s="328"/>
      <c r="BG39" s="328"/>
      <c r="BH39" s="328"/>
      <c r="BI39" s="328"/>
      <c r="BJ39" s="328"/>
      <c r="BK39" s="328"/>
      <c r="BL39" s="328"/>
      <c r="BM39" s="328"/>
      <c r="BN39" s="328"/>
      <c r="BO39" s="328"/>
      <c r="BP39" s="328"/>
      <c r="BQ39" s="328"/>
      <c r="BR39" s="328"/>
      <c r="BS39" s="328"/>
      <c r="BT39" s="328"/>
      <c r="BU39" s="328"/>
      <c r="BV39" s="328"/>
      <c r="BW39" s="328"/>
      <c r="BX39" s="328"/>
      <c r="BY39" s="328"/>
      <c r="BZ39" s="328"/>
      <c r="CA39" s="328"/>
      <c r="CB39" s="328"/>
      <c r="CC39" s="328"/>
      <c r="CD39" s="328"/>
      <c r="CE39" s="328"/>
      <c r="CF39" s="328"/>
      <c r="CG39" s="328"/>
      <c r="CH39" s="328"/>
      <c r="CI39" s="328"/>
      <c r="CJ39" s="328"/>
      <c r="CK39" s="328"/>
      <c r="CL39" s="328"/>
      <c r="CM39" s="328"/>
      <c r="CN39" s="328"/>
      <c r="CO39" s="328"/>
      <c r="CP39" s="328"/>
      <c r="CQ39" s="328"/>
      <c r="CR39" s="328"/>
      <c r="CS39" s="328"/>
      <c r="CT39" s="328"/>
      <c r="CU39" s="328"/>
      <c r="CV39" s="328"/>
      <c r="CW39" s="328"/>
      <c r="CX39" s="328"/>
      <c r="CY39" s="328"/>
      <c r="CZ39" s="328"/>
      <c r="DA39" s="328"/>
      <c r="DB39" s="328"/>
      <c r="DC39" s="328"/>
      <c r="DD39" s="328"/>
      <c r="DE39" s="328"/>
      <c r="DF39" s="328"/>
      <c r="DG39" s="328"/>
      <c r="DH39" s="328"/>
      <c r="DI39" s="328"/>
      <c r="DJ39" s="328"/>
      <c r="DK39" s="328"/>
      <c r="DL39" s="328"/>
      <c r="DM39" s="328"/>
      <c r="DN39" s="328"/>
      <c r="DO39" s="328"/>
      <c r="DP39" s="328"/>
      <c r="DQ39" s="328"/>
      <c r="DR39" s="328"/>
      <c r="DS39" s="328"/>
      <c r="DT39" s="328"/>
      <c r="DU39" s="328"/>
      <c r="DV39" s="328"/>
      <c r="DW39" s="328"/>
      <c r="DX39" s="328"/>
      <c r="DY39" s="328"/>
      <c r="DZ39" s="328"/>
      <c r="EA39" s="328"/>
      <c r="EB39" s="328"/>
      <c r="EC39" s="328"/>
      <c r="ED39" s="328"/>
      <c r="EE39" s="328"/>
      <c r="EF39" s="328"/>
      <c r="EG39" s="328"/>
      <c r="EH39" s="328"/>
      <c r="EI39" s="328"/>
      <c r="EJ39" s="328"/>
      <c r="EK39" s="328"/>
      <c r="EL39" s="328"/>
      <c r="EM39" s="328"/>
      <c r="EN39" s="328"/>
      <c r="EO39" s="328"/>
      <c r="EP39" s="328"/>
      <c r="EQ39" s="328"/>
      <c r="ER39" s="328"/>
      <c r="ES39" s="328"/>
      <c r="ET39" s="328"/>
      <c r="EU39" s="328"/>
      <c r="EV39" s="328"/>
      <c r="EW39" s="328"/>
      <c r="EX39" s="328"/>
      <c r="EY39" s="328"/>
      <c r="EZ39" s="328"/>
      <c r="FA39" s="328"/>
      <c r="FB39" s="328"/>
      <c r="FC39" s="328"/>
      <c r="FD39" s="328"/>
      <c r="FE39" s="328"/>
      <c r="FF39" s="328"/>
      <c r="FG39" s="328"/>
      <c r="FH39" s="328"/>
      <c r="FI39" s="328"/>
      <c r="FJ39" s="328"/>
      <c r="FK39" s="328"/>
      <c r="FL39" s="328"/>
      <c r="FM39" s="328"/>
      <c r="FN39" s="328"/>
      <c r="FO39" s="328"/>
      <c r="FP39" s="328"/>
      <c r="FQ39" s="328"/>
      <c r="FR39" s="328"/>
      <c r="FS39" s="328"/>
      <c r="FT39" s="328"/>
      <c r="FU39" s="328"/>
      <c r="FV39" s="328"/>
      <c r="FW39" s="328"/>
      <c r="FX39" s="328"/>
      <c r="FY39" s="328"/>
      <c r="FZ39" s="328"/>
      <c r="GA39" s="328"/>
      <c r="GB39" s="328"/>
      <c r="GC39" s="328"/>
      <c r="GD39" s="328"/>
      <c r="GE39" s="328"/>
      <c r="GF39" s="328"/>
      <c r="GG39" s="328"/>
      <c r="GH39" s="328"/>
      <c r="GI39" s="328"/>
      <c r="GJ39" s="328"/>
      <c r="GK39" s="328"/>
      <c r="GL39" s="328"/>
      <c r="GM39" s="328"/>
      <c r="GN39" s="328"/>
      <c r="GO39" s="328"/>
      <c r="GP39" s="328"/>
      <c r="GQ39" s="328"/>
      <c r="GR39" s="328"/>
      <c r="GS39" s="328"/>
      <c r="GT39" s="328"/>
      <c r="GU39" s="328"/>
      <c r="GV39" s="328"/>
      <c r="GW39" s="328"/>
      <c r="GX39" s="328"/>
      <c r="GY39" s="328"/>
      <c r="GZ39" s="328"/>
      <c r="HA39" s="328"/>
      <c r="HB39" s="328"/>
      <c r="HC39" s="328"/>
      <c r="HD39" s="328"/>
      <c r="HE39" s="328"/>
      <c r="HF39" s="328"/>
      <c r="HG39" s="328"/>
      <c r="HH39" s="328"/>
      <c r="HI39" s="328"/>
      <c r="HJ39" s="328"/>
      <c r="HK39" s="328"/>
      <c r="HL39" s="328"/>
      <c r="HM39" s="328"/>
      <c r="HN39" s="328"/>
      <c r="HO39" s="328"/>
      <c r="HP39" s="328"/>
      <c r="HQ39" s="328"/>
      <c r="HR39" s="328"/>
      <c r="HS39" s="328"/>
      <c r="HT39" s="328"/>
      <c r="HU39" s="328"/>
      <c r="HV39" s="328"/>
      <c r="HW39" s="328"/>
      <c r="HX39" s="328"/>
      <c r="HY39" s="328"/>
      <c r="HZ39" s="328"/>
      <c r="IA39" s="328"/>
      <c r="IB39" s="328"/>
      <c r="IC39" s="328"/>
      <c r="ID39" s="328"/>
      <c r="IE39" s="328"/>
      <c r="IF39" s="328"/>
      <c r="IG39" s="328"/>
      <c r="IH39" s="328"/>
      <c r="II39" s="328"/>
      <c r="IJ39" s="328"/>
      <c r="IK39" s="328"/>
      <c r="IL39" s="328"/>
      <c r="IM39" s="328"/>
      <c r="IN39" s="328"/>
    </row>
    <row r="40" spans="1:248" customFormat="1" ht="14.45" customHeight="1">
      <c r="A40" s="346" t="s">
        <v>128</v>
      </c>
      <c r="B40" s="338">
        <v>13498</v>
      </c>
      <c r="C40" s="339">
        <v>15804</v>
      </c>
      <c r="D40" s="340">
        <f t="shared" si="7"/>
        <v>17.084012446288337</v>
      </c>
      <c r="E40" s="328">
        <f>+C14/0.7*0.3</f>
        <v>15804.428571428571</v>
      </c>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c r="AN40" s="328"/>
      <c r="AO40" s="328"/>
      <c r="AP40" s="328"/>
      <c r="AQ40" s="328"/>
      <c r="AR40" s="328"/>
      <c r="AS40" s="328"/>
      <c r="AT40" s="328"/>
      <c r="AU40" s="328"/>
      <c r="AV40" s="328"/>
      <c r="AW40" s="328"/>
      <c r="AX40" s="328"/>
      <c r="AY40" s="328"/>
      <c r="AZ40" s="328"/>
      <c r="BA40" s="328"/>
      <c r="BB40" s="328"/>
      <c r="BC40" s="328"/>
      <c r="BD40" s="328"/>
      <c r="BE40" s="328"/>
      <c r="BF40" s="328"/>
      <c r="BG40" s="328"/>
      <c r="BH40" s="328"/>
      <c r="BI40" s="328"/>
      <c r="BJ40" s="328"/>
      <c r="BK40" s="328"/>
      <c r="BL40" s="328"/>
      <c r="BM40" s="328"/>
      <c r="BN40" s="328"/>
      <c r="BO40" s="328"/>
      <c r="BP40" s="328"/>
      <c r="BQ40" s="328"/>
      <c r="BR40" s="328"/>
      <c r="BS40" s="328"/>
      <c r="BT40" s="328"/>
      <c r="BU40" s="328"/>
      <c r="BV40" s="328"/>
      <c r="BW40" s="328"/>
      <c r="BX40" s="328"/>
      <c r="BY40" s="328"/>
      <c r="BZ40" s="328"/>
      <c r="CA40" s="328"/>
      <c r="CB40" s="328"/>
      <c r="CC40" s="328"/>
      <c r="CD40" s="328"/>
      <c r="CE40" s="328"/>
      <c r="CF40" s="328"/>
      <c r="CG40" s="328"/>
      <c r="CH40" s="328"/>
      <c r="CI40" s="328"/>
      <c r="CJ40" s="328"/>
      <c r="CK40" s="328"/>
      <c r="CL40" s="328"/>
      <c r="CM40" s="328"/>
      <c r="CN40" s="328"/>
      <c r="CO40" s="328"/>
      <c r="CP40" s="328"/>
      <c r="CQ40" s="328"/>
      <c r="CR40" s="328"/>
      <c r="CS40" s="328"/>
      <c r="CT40" s="328"/>
      <c r="CU40" s="328"/>
      <c r="CV40" s="328"/>
      <c r="CW40" s="328"/>
      <c r="CX40" s="328"/>
      <c r="CY40" s="328"/>
      <c r="CZ40" s="328"/>
      <c r="DA40" s="328"/>
      <c r="DB40" s="328"/>
      <c r="DC40" s="328"/>
      <c r="DD40" s="328"/>
      <c r="DE40" s="328"/>
      <c r="DF40" s="328"/>
      <c r="DG40" s="328"/>
      <c r="DH40" s="328"/>
      <c r="DI40" s="328"/>
      <c r="DJ40" s="328"/>
      <c r="DK40" s="328"/>
      <c r="DL40" s="328"/>
      <c r="DM40" s="328"/>
      <c r="DN40" s="328"/>
      <c r="DO40" s="328"/>
      <c r="DP40" s="328"/>
      <c r="DQ40" s="328"/>
      <c r="DR40" s="328"/>
      <c r="DS40" s="328"/>
      <c r="DT40" s="328"/>
      <c r="DU40" s="328"/>
      <c r="DV40" s="328"/>
      <c r="DW40" s="328"/>
      <c r="DX40" s="328"/>
      <c r="DY40" s="328"/>
      <c r="DZ40" s="328"/>
      <c r="EA40" s="328"/>
      <c r="EB40" s="328"/>
      <c r="EC40" s="328"/>
      <c r="ED40" s="328"/>
      <c r="EE40" s="328"/>
      <c r="EF40" s="328"/>
      <c r="EG40" s="328"/>
      <c r="EH40" s="328"/>
      <c r="EI40" s="328"/>
      <c r="EJ40" s="328"/>
      <c r="EK40" s="328"/>
      <c r="EL40" s="328"/>
      <c r="EM40" s="328"/>
      <c r="EN40" s="328"/>
      <c r="EO40" s="328"/>
      <c r="EP40" s="328"/>
      <c r="EQ40" s="328"/>
      <c r="ER40" s="328"/>
      <c r="ES40" s="328"/>
      <c r="ET40" s="328"/>
      <c r="EU40" s="328"/>
      <c r="EV40" s="328"/>
      <c r="EW40" s="328"/>
      <c r="EX40" s="328"/>
      <c r="EY40" s="328"/>
      <c r="EZ40" s="328"/>
      <c r="FA40" s="328"/>
      <c r="FB40" s="328"/>
      <c r="FC40" s="328"/>
      <c r="FD40" s="328"/>
      <c r="FE40" s="328"/>
      <c r="FF40" s="328"/>
      <c r="FG40" s="328"/>
      <c r="FH40" s="328"/>
      <c r="FI40" s="328"/>
      <c r="FJ40" s="328"/>
      <c r="FK40" s="328"/>
      <c r="FL40" s="328"/>
      <c r="FM40" s="328"/>
      <c r="FN40" s="328"/>
      <c r="FO40" s="328"/>
      <c r="FP40" s="328"/>
      <c r="FQ40" s="328"/>
      <c r="FR40" s="328"/>
      <c r="FS40" s="328"/>
      <c r="FT40" s="328"/>
      <c r="FU40" s="328"/>
      <c r="FV40" s="328"/>
      <c r="FW40" s="328"/>
      <c r="FX40" s="328"/>
      <c r="FY40" s="328"/>
      <c r="FZ40" s="328"/>
      <c r="GA40" s="328"/>
      <c r="GB40" s="328"/>
      <c r="GC40" s="328"/>
      <c r="GD40" s="328"/>
      <c r="GE40" s="328"/>
      <c r="GF40" s="328"/>
      <c r="GG40" s="328"/>
      <c r="GH40" s="328"/>
      <c r="GI40" s="328"/>
      <c r="GJ40" s="328"/>
      <c r="GK40" s="328"/>
      <c r="GL40" s="328"/>
      <c r="GM40" s="328"/>
      <c r="GN40" s="328"/>
      <c r="GO40" s="328"/>
      <c r="GP40" s="328"/>
      <c r="GQ40" s="328"/>
      <c r="GR40" s="328"/>
      <c r="GS40" s="328"/>
      <c r="GT40" s="328"/>
      <c r="GU40" s="328"/>
      <c r="GV40" s="328"/>
      <c r="GW40" s="328"/>
      <c r="GX40" s="328"/>
      <c r="GY40" s="328"/>
      <c r="GZ40" s="328"/>
      <c r="HA40" s="328"/>
      <c r="HB40" s="328"/>
      <c r="HC40" s="328"/>
      <c r="HD40" s="328"/>
      <c r="HE40" s="328"/>
      <c r="HF40" s="328"/>
      <c r="HG40" s="328"/>
      <c r="HH40" s="328"/>
      <c r="HI40" s="328"/>
      <c r="HJ40" s="328"/>
      <c r="HK40" s="328"/>
      <c r="HL40" s="328"/>
      <c r="HM40" s="328"/>
      <c r="HN40" s="328"/>
      <c r="HO40" s="328"/>
      <c r="HP40" s="328"/>
      <c r="HQ40" s="328"/>
      <c r="HR40" s="328"/>
      <c r="HS40" s="328"/>
      <c r="HT40" s="328"/>
      <c r="HU40" s="328"/>
      <c r="HV40" s="328"/>
      <c r="HW40" s="328"/>
      <c r="HX40" s="328"/>
      <c r="HY40" s="328"/>
      <c r="HZ40" s="328"/>
      <c r="IA40" s="328"/>
      <c r="IB40" s="328"/>
      <c r="IC40" s="328"/>
      <c r="ID40" s="328"/>
      <c r="IE40" s="328"/>
      <c r="IF40" s="328"/>
      <c r="IG40" s="328"/>
      <c r="IH40" s="328"/>
      <c r="II40" s="328"/>
      <c r="IJ40" s="328"/>
      <c r="IK40" s="328"/>
      <c r="IL40" s="328"/>
      <c r="IM40" s="328"/>
      <c r="IN40" s="328"/>
    </row>
    <row r="41" spans="1:248" customFormat="1" ht="14.45" customHeight="1">
      <c r="A41" s="386" t="s">
        <v>129</v>
      </c>
      <c r="B41" s="387">
        <v>418</v>
      </c>
      <c r="C41" s="339">
        <v>514</v>
      </c>
      <c r="D41" s="340"/>
      <c r="E41" s="328">
        <f>+C19/0.7*0.3</f>
        <v>514.28571428571433</v>
      </c>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328"/>
      <c r="AX41" s="328"/>
      <c r="AY41" s="328"/>
      <c r="AZ41" s="328"/>
      <c r="BA41" s="328"/>
      <c r="BB41" s="328"/>
      <c r="BC41" s="328"/>
      <c r="BD41" s="328"/>
      <c r="BE41" s="328"/>
      <c r="BF41" s="328"/>
      <c r="BG41" s="328"/>
      <c r="BH41" s="328"/>
      <c r="BI41" s="328"/>
      <c r="BJ41" s="328"/>
      <c r="BK41" s="328"/>
      <c r="BL41" s="328"/>
      <c r="BM41" s="328"/>
      <c r="BN41" s="328"/>
      <c r="BO41" s="328"/>
      <c r="BP41" s="328"/>
      <c r="BQ41" s="328"/>
      <c r="BR41" s="328"/>
      <c r="BS41" s="328"/>
      <c r="BT41" s="328"/>
      <c r="BU41" s="328"/>
      <c r="BV41" s="328"/>
      <c r="BW41" s="328"/>
      <c r="BX41" s="328"/>
      <c r="BY41" s="328"/>
      <c r="BZ41" s="328"/>
      <c r="CA41" s="328"/>
      <c r="CB41" s="328"/>
      <c r="CC41" s="328"/>
      <c r="CD41" s="328"/>
      <c r="CE41" s="328"/>
      <c r="CF41" s="328"/>
      <c r="CG41" s="328"/>
      <c r="CH41" s="328"/>
      <c r="CI41" s="328"/>
      <c r="CJ41" s="328"/>
      <c r="CK41" s="328"/>
      <c r="CL41" s="328"/>
      <c r="CM41" s="328"/>
      <c r="CN41" s="328"/>
      <c r="CO41" s="328"/>
      <c r="CP41" s="328"/>
      <c r="CQ41" s="328"/>
      <c r="CR41" s="328"/>
      <c r="CS41" s="328"/>
      <c r="CT41" s="328"/>
      <c r="CU41" s="328"/>
      <c r="CV41" s="328"/>
      <c r="CW41" s="328"/>
      <c r="CX41" s="328"/>
      <c r="CY41" s="328"/>
      <c r="CZ41" s="328"/>
      <c r="DA41" s="328"/>
      <c r="DB41" s="328"/>
      <c r="DC41" s="328"/>
      <c r="DD41" s="328"/>
      <c r="DE41" s="328"/>
      <c r="DF41" s="328"/>
      <c r="DG41" s="328"/>
      <c r="DH41" s="328"/>
      <c r="DI41" s="328"/>
      <c r="DJ41" s="328"/>
      <c r="DK41" s="328"/>
      <c r="DL41" s="328"/>
      <c r="DM41" s="328"/>
      <c r="DN41" s="328"/>
      <c r="DO41" s="328"/>
      <c r="DP41" s="328"/>
      <c r="DQ41" s="328"/>
      <c r="DR41" s="328"/>
      <c r="DS41" s="328"/>
      <c r="DT41" s="328"/>
      <c r="DU41" s="328"/>
      <c r="DV41" s="328"/>
      <c r="DW41" s="328"/>
      <c r="DX41" s="328"/>
      <c r="DY41" s="328"/>
      <c r="DZ41" s="328"/>
      <c r="EA41" s="328"/>
      <c r="EB41" s="328"/>
      <c r="EC41" s="328"/>
      <c r="ED41" s="328"/>
      <c r="EE41" s="328"/>
      <c r="EF41" s="328"/>
      <c r="EG41" s="328"/>
      <c r="EH41" s="328"/>
      <c r="EI41" s="328"/>
      <c r="EJ41" s="328"/>
      <c r="EK41" s="328"/>
      <c r="EL41" s="328"/>
      <c r="EM41" s="328"/>
      <c r="EN41" s="328"/>
      <c r="EO41" s="328"/>
      <c r="EP41" s="328"/>
      <c r="EQ41" s="328"/>
      <c r="ER41" s="328"/>
      <c r="ES41" s="328"/>
      <c r="ET41" s="328"/>
      <c r="EU41" s="328"/>
      <c r="EV41" s="328"/>
      <c r="EW41" s="328"/>
      <c r="EX41" s="328"/>
      <c r="EY41" s="328"/>
      <c r="EZ41" s="328"/>
      <c r="FA41" s="328"/>
      <c r="FB41" s="328"/>
      <c r="FC41" s="328"/>
      <c r="FD41" s="328"/>
      <c r="FE41" s="328"/>
      <c r="FF41" s="328"/>
      <c r="FG41" s="328"/>
      <c r="FH41" s="328"/>
      <c r="FI41" s="328"/>
      <c r="FJ41" s="328"/>
      <c r="FK41" s="328"/>
      <c r="FL41" s="328"/>
      <c r="FM41" s="328"/>
      <c r="FN41" s="328"/>
      <c r="FO41" s="328"/>
      <c r="FP41" s="328"/>
      <c r="FQ41" s="328"/>
      <c r="FR41" s="328"/>
      <c r="FS41" s="328"/>
      <c r="FT41" s="328"/>
      <c r="FU41" s="328"/>
      <c r="FV41" s="328"/>
      <c r="FW41" s="328"/>
      <c r="FX41" s="328"/>
      <c r="FY41" s="328"/>
      <c r="FZ41" s="328"/>
      <c r="GA41" s="328"/>
      <c r="GB41" s="328"/>
      <c r="GC41" s="328"/>
      <c r="GD41" s="328"/>
      <c r="GE41" s="328"/>
      <c r="GF41" s="328"/>
      <c r="GG41" s="328"/>
      <c r="GH41" s="328"/>
      <c r="GI41" s="328"/>
      <c r="GJ41" s="328"/>
      <c r="GK41" s="328"/>
      <c r="GL41" s="328"/>
      <c r="GM41" s="328"/>
      <c r="GN41" s="328"/>
      <c r="GO41" s="328"/>
      <c r="GP41" s="328"/>
      <c r="GQ41" s="328"/>
      <c r="GR41" s="328"/>
      <c r="GS41" s="328"/>
      <c r="GT41" s="328"/>
      <c r="GU41" s="328"/>
      <c r="GV41" s="328"/>
      <c r="GW41" s="328"/>
      <c r="GX41" s="328"/>
      <c r="GY41" s="328"/>
      <c r="GZ41" s="328"/>
      <c r="HA41" s="328"/>
      <c r="HB41" s="328"/>
      <c r="HC41" s="328"/>
      <c r="HD41" s="328"/>
      <c r="HE41" s="328"/>
      <c r="HF41" s="328"/>
      <c r="HG41" s="328"/>
      <c r="HH41" s="328"/>
      <c r="HI41" s="328"/>
      <c r="HJ41" s="328"/>
      <c r="HK41" s="328"/>
      <c r="HL41" s="328"/>
      <c r="HM41" s="328"/>
      <c r="HN41" s="328"/>
      <c r="HO41" s="328"/>
      <c r="HP41" s="328"/>
      <c r="HQ41" s="328"/>
      <c r="HR41" s="328"/>
      <c r="HS41" s="328"/>
      <c r="HT41" s="328"/>
      <c r="HU41" s="328"/>
      <c r="HV41" s="328"/>
      <c r="HW41" s="328"/>
      <c r="HX41" s="328"/>
      <c r="HY41" s="328"/>
      <c r="HZ41" s="328"/>
      <c r="IA41" s="328"/>
      <c r="IB41" s="328"/>
      <c r="IC41" s="328"/>
      <c r="ID41" s="328"/>
      <c r="IE41" s="328"/>
      <c r="IF41" s="328"/>
      <c r="IG41" s="328"/>
      <c r="IH41" s="328"/>
      <c r="II41" s="328"/>
      <c r="IJ41" s="328"/>
      <c r="IK41" s="328"/>
      <c r="IL41" s="328"/>
      <c r="IM41" s="328"/>
      <c r="IN41" s="328"/>
    </row>
    <row r="42" spans="1:248" customFormat="1" ht="20.25" customHeight="1">
      <c r="A42" s="344" t="s">
        <v>278</v>
      </c>
      <c r="B42" s="338">
        <f>B29+B30+B35</f>
        <v>1258396</v>
      </c>
      <c r="C42" s="388">
        <f>+C29+C30+C35</f>
        <v>1352800</v>
      </c>
      <c r="D42" s="340">
        <f>(C42-B42)/B42*100</f>
        <v>7.5019310296599793</v>
      </c>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c r="AN42" s="328"/>
      <c r="AO42" s="328"/>
      <c r="AP42" s="328"/>
      <c r="AQ42" s="328"/>
      <c r="AR42" s="328"/>
      <c r="AS42" s="328"/>
      <c r="AT42" s="328"/>
      <c r="AU42" s="328"/>
      <c r="AV42" s="328"/>
      <c r="AW42" s="328"/>
      <c r="AX42" s="328"/>
      <c r="AY42" s="328"/>
      <c r="AZ42" s="328"/>
      <c r="BA42" s="328"/>
      <c r="BB42" s="328"/>
      <c r="BC42" s="328"/>
      <c r="BD42" s="328"/>
      <c r="BE42" s="328"/>
      <c r="BF42" s="328"/>
      <c r="BG42" s="328"/>
      <c r="BH42" s="328"/>
      <c r="BI42" s="328"/>
      <c r="BJ42" s="328"/>
      <c r="BK42" s="328"/>
      <c r="BL42" s="328"/>
      <c r="BM42" s="328"/>
      <c r="BN42" s="328"/>
      <c r="BO42" s="328"/>
      <c r="BP42" s="328"/>
      <c r="BQ42" s="328"/>
      <c r="BR42" s="328"/>
      <c r="BS42" s="328"/>
      <c r="BT42" s="328"/>
      <c r="BU42" s="328"/>
      <c r="BV42" s="328"/>
      <c r="BW42" s="328"/>
      <c r="BX42" s="328"/>
      <c r="BY42" s="328"/>
      <c r="BZ42" s="328"/>
      <c r="CA42" s="328"/>
      <c r="CB42" s="328"/>
      <c r="CC42" s="328"/>
      <c r="CD42" s="328"/>
      <c r="CE42" s="328"/>
      <c r="CF42" s="328"/>
      <c r="CG42" s="328"/>
      <c r="CH42" s="328"/>
      <c r="CI42" s="328"/>
      <c r="CJ42" s="328"/>
      <c r="CK42" s="328"/>
      <c r="CL42" s="328"/>
      <c r="CM42" s="328"/>
      <c r="CN42" s="328"/>
      <c r="CO42" s="328"/>
      <c r="CP42" s="328"/>
      <c r="CQ42" s="328"/>
      <c r="CR42" s="328"/>
      <c r="CS42" s="328"/>
      <c r="CT42" s="328"/>
      <c r="CU42" s="328"/>
      <c r="CV42" s="328"/>
      <c r="CW42" s="328"/>
      <c r="CX42" s="328"/>
      <c r="CY42" s="328"/>
      <c r="CZ42" s="328"/>
      <c r="DA42" s="328"/>
      <c r="DB42" s="328"/>
      <c r="DC42" s="328"/>
      <c r="DD42" s="328"/>
      <c r="DE42" s="328"/>
      <c r="DF42" s="328"/>
      <c r="DG42" s="328"/>
      <c r="DH42" s="328"/>
      <c r="DI42" s="328"/>
      <c r="DJ42" s="328"/>
      <c r="DK42" s="328"/>
      <c r="DL42" s="328"/>
      <c r="DM42" s="328"/>
      <c r="DN42" s="328"/>
      <c r="DO42" s="328"/>
      <c r="DP42" s="328"/>
      <c r="DQ42" s="328"/>
      <c r="DR42" s="328"/>
      <c r="DS42" s="328"/>
      <c r="DT42" s="328"/>
      <c r="DU42" s="328"/>
      <c r="DV42" s="328"/>
      <c r="DW42" s="328"/>
      <c r="DX42" s="328"/>
      <c r="DY42" s="328"/>
      <c r="DZ42" s="328"/>
      <c r="EA42" s="328"/>
      <c r="EB42" s="328"/>
      <c r="EC42" s="328"/>
      <c r="ED42" s="328"/>
      <c r="EE42" s="328"/>
      <c r="EF42" s="328"/>
      <c r="EG42" s="328"/>
      <c r="EH42" s="328"/>
      <c r="EI42" s="328"/>
      <c r="EJ42" s="328"/>
      <c r="EK42" s="328"/>
      <c r="EL42" s="328"/>
      <c r="EM42" s="328"/>
      <c r="EN42" s="328"/>
      <c r="EO42" s="328"/>
      <c r="EP42" s="328"/>
      <c r="EQ42" s="328"/>
      <c r="ER42" s="328"/>
      <c r="ES42" s="328"/>
      <c r="ET42" s="328"/>
      <c r="EU42" s="328"/>
      <c r="EV42" s="328"/>
      <c r="EW42" s="328"/>
      <c r="EX42" s="328"/>
      <c r="EY42" s="328"/>
      <c r="EZ42" s="328"/>
      <c r="FA42" s="328"/>
      <c r="FB42" s="328"/>
      <c r="FC42" s="328"/>
      <c r="FD42" s="328"/>
      <c r="FE42" s="328"/>
      <c r="FF42" s="328"/>
      <c r="FG42" s="328"/>
      <c r="FH42" s="328"/>
      <c r="FI42" s="328"/>
      <c r="FJ42" s="328"/>
      <c r="FK42" s="328"/>
      <c r="FL42" s="328"/>
      <c r="FM42" s="328"/>
      <c r="FN42" s="328"/>
      <c r="FO42" s="328"/>
      <c r="FP42" s="328"/>
      <c r="FQ42" s="328"/>
      <c r="FR42" s="328"/>
      <c r="FS42" s="328"/>
      <c r="FT42" s="328"/>
      <c r="FU42" s="328"/>
      <c r="FV42" s="328"/>
      <c r="FW42" s="328"/>
      <c r="FX42" s="328"/>
      <c r="FY42" s="328"/>
      <c r="FZ42" s="328"/>
      <c r="GA42" s="328"/>
      <c r="GB42" s="328"/>
      <c r="GC42" s="328"/>
      <c r="GD42" s="328"/>
      <c r="GE42" s="328"/>
      <c r="GF42" s="328"/>
      <c r="GG42" s="328"/>
      <c r="GH42" s="328"/>
      <c r="GI42" s="328"/>
      <c r="GJ42" s="328"/>
      <c r="GK42" s="328"/>
      <c r="GL42" s="328"/>
      <c r="GM42" s="328"/>
      <c r="GN42" s="328"/>
      <c r="GO42" s="328"/>
      <c r="GP42" s="328"/>
      <c r="GQ42" s="328"/>
      <c r="GR42" s="328"/>
      <c r="GS42" s="328"/>
      <c r="GT42" s="328"/>
      <c r="GU42" s="328"/>
      <c r="GV42" s="328"/>
      <c r="GW42" s="328"/>
      <c r="GX42" s="328"/>
      <c r="GY42" s="328"/>
      <c r="GZ42" s="328"/>
      <c r="HA42" s="328"/>
      <c r="HB42" s="328"/>
      <c r="HC42" s="328"/>
      <c r="HD42" s="328"/>
      <c r="HE42" s="328"/>
      <c r="HF42" s="328"/>
      <c r="HG42" s="328"/>
      <c r="HH42" s="328"/>
      <c r="HI42" s="328"/>
      <c r="HJ42" s="328"/>
      <c r="HK42" s="328"/>
      <c r="HL42" s="328"/>
      <c r="HM42" s="328"/>
      <c r="HN42" s="328"/>
      <c r="HO42" s="328"/>
      <c r="HP42" s="328"/>
      <c r="HQ42" s="328"/>
      <c r="HR42" s="328"/>
      <c r="HS42" s="328"/>
      <c r="HT42" s="328"/>
      <c r="HU42" s="328"/>
      <c r="HV42" s="328"/>
      <c r="HW42" s="328"/>
      <c r="HX42" s="328"/>
      <c r="HY42" s="328"/>
      <c r="HZ42" s="328"/>
      <c r="IA42" s="328"/>
      <c r="IB42" s="328"/>
      <c r="IC42" s="328"/>
      <c r="ID42" s="328"/>
      <c r="IE42" s="328"/>
      <c r="IF42" s="328"/>
      <c r="IG42" s="328"/>
      <c r="IH42" s="328"/>
      <c r="II42" s="328"/>
      <c r="IJ42" s="328"/>
      <c r="IK42" s="328"/>
      <c r="IL42" s="328"/>
      <c r="IM42" s="328"/>
      <c r="IN42" s="328"/>
    </row>
    <row r="43" spans="1:248" ht="47.1" customHeight="1">
      <c r="A43" s="544" t="s">
        <v>279</v>
      </c>
      <c r="B43" s="546"/>
      <c r="C43" s="546"/>
      <c r="D43" s="546"/>
    </row>
  </sheetData>
  <mergeCells count="2">
    <mergeCell ref="A1:D1"/>
    <mergeCell ref="A43:D43"/>
  </mergeCells>
  <phoneticPr fontId="2" type="noConversion"/>
  <printOptions horizontalCentered="1"/>
  <pageMargins left="0.79027777777777797" right="0.79027777777777797" top="0.97916666666666696" bottom="0.97916666666666696" header="0.2" footer="0.79027777777777797"/>
  <pageSetup paperSize="9" firstPageNumber="11" orientation="portrait" useFirstPageNumber="1" verticalDpi="180"/>
  <headerFooter alignWithMargins="0">
    <oddFooter>&amp;C第 &amp;P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XFC38"/>
  <sheetViews>
    <sheetView showZeros="0" topLeftCell="A7" workbookViewId="0">
      <selection activeCell="AD21" sqref="AD21"/>
    </sheetView>
  </sheetViews>
  <sheetFormatPr defaultColWidth="9" defaultRowHeight="15.75"/>
  <cols>
    <col min="1" max="1" width="32" style="359" customWidth="1"/>
    <col min="2" max="2" width="15.5" style="360" customWidth="1"/>
    <col min="3" max="3" width="14" style="359" customWidth="1"/>
    <col min="4" max="4" width="14.125" style="359" customWidth="1"/>
    <col min="5" max="5" width="9" style="359" hidden="1" customWidth="1"/>
    <col min="6" max="6" width="12.125" style="359" hidden="1" customWidth="1"/>
    <col min="7" max="25" width="9" style="359" hidden="1" customWidth="1"/>
    <col min="26" max="26" width="9" style="359"/>
    <col min="27" max="29" width="9" style="359" hidden="1" customWidth="1"/>
    <col min="30" max="16383" width="9" style="359"/>
  </cols>
  <sheetData>
    <row r="1" spans="1:28" s="357" customFormat="1" ht="47.25" customHeight="1">
      <c r="A1" s="566" t="s">
        <v>24</v>
      </c>
      <c r="B1" s="566"/>
      <c r="C1" s="566"/>
      <c r="D1" s="566"/>
      <c r="E1" s="361"/>
      <c r="F1" s="361"/>
      <c r="G1" s="362"/>
      <c r="H1" s="362"/>
      <c r="I1" s="362"/>
      <c r="J1" s="362"/>
    </row>
    <row r="2" spans="1:28" ht="24.95" customHeight="1">
      <c r="A2" s="363"/>
      <c r="B2" s="363"/>
      <c r="C2" s="363"/>
      <c r="D2" s="364" t="s">
        <v>210</v>
      </c>
      <c r="E2" s="365"/>
      <c r="F2" s="365"/>
      <c r="G2" s="365"/>
      <c r="H2" s="365"/>
      <c r="I2" s="365"/>
      <c r="J2" s="365"/>
      <c r="R2" s="357"/>
    </row>
    <row r="3" spans="1:28" ht="29.25" customHeight="1">
      <c r="A3" s="197" t="s">
        <v>280</v>
      </c>
      <c r="B3" s="366" t="s">
        <v>281</v>
      </c>
      <c r="C3" s="366" t="s">
        <v>282</v>
      </c>
      <c r="D3" s="366" t="s">
        <v>283</v>
      </c>
      <c r="E3" s="365" t="s">
        <v>284</v>
      </c>
      <c r="F3" s="367" t="s">
        <v>285</v>
      </c>
      <c r="G3" s="365" t="s">
        <v>286</v>
      </c>
      <c r="H3" s="365"/>
      <c r="I3" s="365"/>
      <c r="J3" s="365"/>
      <c r="L3" s="377" t="s">
        <v>88</v>
      </c>
      <c r="M3" s="366" t="s">
        <v>287</v>
      </c>
      <c r="N3" s="377" t="s">
        <v>288</v>
      </c>
      <c r="P3" s="377" t="s">
        <v>88</v>
      </c>
      <c r="Q3" s="366" t="s">
        <v>289</v>
      </c>
      <c r="R3" s="377" t="s">
        <v>175</v>
      </c>
      <c r="U3" s="359" t="s">
        <v>290</v>
      </c>
    </row>
    <row r="4" spans="1:28" s="358" customFormat="1" ht="24" customHeight="1">
      <c r="A4" s="309" t="s">
        <v>137</v>
      </c>
      <c r="B4" s="368">
        <v>338533</v>
      </c>
      <c r="C4" s="368">
        <v>349645</v>
      </c>
      <c r="D4" s="369">
        <f t="shared" ref="D4" si="0">(C4-B4)/B4*100</f>
        <v>3.2823978755394596</v>
      </c>
      <c r="E4" s="370">
        <v>284383</v>
      </c>
      <c r="F4" s="363">
        <v>261746</v>
      </c>
      <c r="G4" s="363">
        <f t="shared" ref="G4" si="1">C4/1.0574</f>
        <v>330664.83828257996</v>
      </c>
      <c r="H4" s="371">
        <f t="shared" ref="H4" si="2">ROUND(G4,0)</f>
        <v>330665</v>
      </c>
      <c r="I4" s="363">
        <f t="shared" ref="I4" si="3">+B4-F4</f>
        <v>76787</v>
      </c>
      <c r="J4" s="363">
        <f t="shared" ref="J4" si="4">+E4-B4</f>
        <v>-54150</v>
      </c>
      <c r="L4" s="378">
        <f t="shared" ref="L4" si="5">+M4+N4</f>
        <v>338932</v>
      </c>
      <c r="M4" s="373">
        <v>329811</v>
      </c>
      <c r="N4" s="379">
        <v>9121</v>
      </c>
      <c r="P4" s="378">
        <f t="shared" ref="P4" si="6">+Q4+R4</f>
        <v>320533</v>
      </c>
      <c r="Q4" s="368">
        <v>260539</v>
      </c>
      <c r="R4" s="306">
        <v>59994</v>
      </c>
      <c r="U4" s="358">
        <v>394082</v>
      </c>
      <c r="V4" s="358">
        <f>+U4-B4</f>
        <v>55549</v>
      </c>
      <c r="AA4" s="305">
        <v>350362</v>
      </c>
      <c r="AB4" s="358">
        <f>+AA4-B4</f>
        <v>11829</v>
      </c>
    </row>
    <row r="5" spans="1:28" s="358" customFormat="1" ht="24" customHeight="1">
      <c r="A5" s="309" t="s">
        <v>138</v>
      </c>
      <c r="B5" s="368">
        <v>0</v>
      </c>
      <c r="C5" s="368">
        <v>0</v>
      </c>
      <c r="D5" s="369"/>
      <c r="E5" s="370">
        <v>0</v>
      </c>
      <c r="F5" s="363">
        <v>0</v>
      </c>
      <c r="G5" s="363">
        <f t="shared" ref="G5:G23" si="7">C5/1.0574</f>
        <v>0</v>
      </c>
      <c r="H5" s="371">
        <f t="shared" ref="H5:H23" si="8">ROUND(G5,0)</f>
        <v>0</v>
      </c>
      <c r="I5" s="363">
        <f t="shared" ref="I5:I23" si="9">+B5-F5</f>
        <v>0</v>
      </c>
      <c r="J5" s="363">
        <f t="shared" ref="J5:J23" si="10">+E5-B5</f>
        <v>0</v>
      </c>
      <c r="L5" s="378">
        <f t="shared" ref="L5:L26" si="11">+M5+N5</f>
        <v>0</v>
      </c>
      <c r="M5" s="368">
        <v>0</v>
      </c>
      <c r="N5" s="378"/>
      <c r="P5" s="378">
        <f t="shared" ref="P5:P26" si="12">+Q5+R5</f>
        <v>0</v>
      </c>
      <c r="Q5" s="368">
        <v>0</v>
      </c>
      <c r="R5" s="306">
        <v>0</v>
      </c>
      <c r="U5" s="358">
        <v>0</v>
      </c>
      <c r="V5" s="358">
        <f t="shared" ref="V5" si="13">+U5-B5</f>
        <v>0</v>
      </c>
      <c r="AA5" s="305"/>
      <c r="AB5" s="358">
        <f t="shared" ref="AB5" si="14">+AA5-B5</f>
        <v>0</v>
      </c>
    </row>
    <row r="6" spans="1:28" s="358" customFormat="1" ht="24" customHeight="1">
      <c r="A6" s="309" t="s">
        <v>139</v>
      </c>
      <c r="B6" s="368">
        <v>3422</v>
      </c>
      <c r="C6" s="368">
        <v>3884</v>
      </c>
      <c r="D6" s="369">
        <f t="shared" ref="D6" si="15">(C6-B6)/B6*100</f>
        <v>13.500876680303916</v>
      </c>
      <c r="E6" s="370">
        <v>2435</v>
      </c>
      <c r="F6" s="363">
        <v>1138</v>
      </c>
      <c r="G6" s="363">
        <f t="shared" si="7"/>
        <v>3673.160582560999</v>
      </c>
      <c r="H6" s="371">
        <f t="shared" si="8"/>
        <v>3673</v>
      </c>
      <c r="I6" s="363">
        <f t="shared" si="9"/>
        <v>2284</v>
      </c>
      <c r="J6" s="363">
        <f t="shared" si="10"/>
        <v>-987</v>
      </c>
      <c r="L6" s="378">
        <f t="shared" si="11"/>
        <v>3309</v>
      </c>
      <c r="M6" s="368">
        <v>3309</v>
      </c>
      <c r="N6" s="378"/>
      <c r="P6" s="378">
        <f t="shared" si="12"/>
        <v>4259</v>
      </c>
      <c r="Q6" s="368">
        <v>2009</v>
      </c>
      <c r="R6" s="306">
        <v>2250</v>
      </c>
      <c r="U6" s="358">
        <v>3338</v>
      </c>
      <c r="V6" s="358">
        <f t="shared" ref="V6:V26" si="16">+U6-B6</f>
        <v>-84</v>
      </c>
      <c r="X6" s="358">
        <v>-600</v>
      </c>
      <c r="AA6" s="305">
        <v>3422</v>
      </c>
      <c r="AB6" s="358">
        <f t="shared" ref="AB6:AB26" si="17">+AA6-B6</f>
        <v>0</v>
      </c>
    </row>
    <row r="7" spans="1:28" s="358" customFormat="1" ht="24" customHeight="1">
      <c r="A7" s="309" t="s">
        <v>140</v>
      </c>
      <c r="B7" s="368">
        <v>133840</v>
      </c>
      <c r="C7" s="368">
        <v>142398</v>
      </c>
      <c r="D7" s="369">
        <f t="shared" ref="D7:D19" si="18">(C7-B7)/B7*100</f>
        <v>6.3942020322773461</v>
      </c>
      <c r="E7" s="370">
        <v>102614</v>
      </c>
      <c r="F7" s="363">
        <v>83098</v>
      </c>
      <c r="G7" s="363">
        <f t="shared" si="7"/>
        <v>134668.05371666353</v>
      </c>
      <c r="H7" s="371">
        <f t="shared" si="8"/>
        <v>134668</v>
      </c>
      <c r="I7" s="363">
        <f t="shared" si="9"/>
        <v>50742</v>
      </c>
      <c r="J7" s="363">
        <f t="shared" si="10"/>
        <v>-31226</v>
      </c>
      <c r="L7" s="378">
        <f t="shared" si="11"/>
        <v>115581</v>
      </c>
      <c r="M7" s="368">
        <v>114636</v>
      </c>
      <c r="N7" s="378">
        <v>945</v>
      </c>
      <c r="P7" s="378">
        <f t="shared" si="12"/>
        <v>131340</v>
      </c>
      <c r="Q7" s="368">
        <v>68926</v>
      </c>
      <c r="R7" s="306">
        <v>62414</v>
      </c>
      <c r="U7" s="358">
        <v>173560</v>
      </c>
      <c r="V7" s="358">
        <f t="shared" si="16"/>
        <v>39720</v>
      </c>
      <c r="AA7" s="305">
        <v>154258</v>
      </c>
      <c r="AB7" s="358">
        <f t="shared" si="17"/>
        <v>20418</v>
      </c>
    </row>
    <row r="8" spans="1:28" s="358" customFormat="1" ht="24" customHeight="1">
      <c r="A8" s="309" t="s">
        <v>141</v>
      </c>
      <c r="B8" s="368">
        <v>523017</v>
      </c>
      <c r="C8" s="368">
        <f>567136+6800</f>
        <v>573936</v>
      </c>
      <c r="D8" s="369">
        <f t="shared" si="18"/>
        <v>9.7356300082024099</v>
      </c>
      <c r="E8" s="370">
        <v>440092</v>
      </c>
      <c r="F8" s="363">
        <v>361260</v>
      </c>
      <c r="G8" s="363">
        <f t="shared" si="7"/>
        <v>542780.40476640826</v>
      </c>
      <c r="H8" s="371">
        <f t="shared" si="8"/>
        <v>542780</v>
      </c>
      <c r="I8" s="363">
        <f t="shared" si="9"/>
        <v>161757</v>
      </c>
      <c r="J8" s="363">
        <f t="shared" si="10"/>
        <v>-82925</v>
      </c>
      <c r="L8" s="378">
        <f t="shared" si="11"/>
        <v>440034</v>
      </c>
      <c r="M8" s="368">
        <v>432284</v>
      </c>
      <c r="N8" s="379">
        <v>7750</v>
      </c>
      <c r="P8" s="378">
        <f t="shared" si="12"/>
        <v>533017</v>
      </c>
      <c r="Q8" s="368">
        <v>496204</v>
      </c>
      <c r="R8" s="306">
        <v>36813</v>
      </c>
      <c r="U8" s="358">
        <v>647537</v>
      </c>
      <c r="V8" s="358">
        <f t="shared" si="16"/>
        <v>124520</v>
      </c>
      <c r="AA8" s="305">
        <v>572617</v>
      </c>
      <c r="AB8" s="358">
        <f t="shared" si="17"/>
        <v>49600</v>
      </c>
    </row>
    <row r="9" spans="1:28" s="358" customFormat="1" ht="24" customHeight="1">
      <c r="A9" s="309" t="s">
        <v>142</v>
      </c>
      <c r="B9" s="368">
        <v>21038</v>
      </c>
      <c r="C9" s="368">
        <v>22505</v>
      </c>
      <c r="D9" s="369">
        <f t="shared" si="18"/>
        <v>6.973096301929842</v>
      </c>
      <c r="E9" s="370">
        <v>20218</v>
      </c>
      <c r="F9" s="363">
        <v>18062</v>
      </c>
      <c r="G9" s="363">
        <f t="shared" si="7"/>
        <v>21283.33648571969</v>
      </c>
      <c r="H9" s="371">
        <f t="shared" si="8"/>
        <v>21283</v>
      </c>
      <c r="I9" s="363">
        <f t="shared" si="9"/>
        <v>2976</v>
      </c>
      <c r="J9" s="363">
        <f t="shared" si="10"/>
        <v>-820</v>
      </c>
      <c r="L9" s="378">
        <f t="shared" si="11"/>
        <v>12253</v>
      </c>
      <c r="M9" s="368">
        <v>12103</v>
      </c>
      <c r="N9" s="378">
        <v>150</v>
      </c>
      <c r="P9" s="378">
        <f t="shared" si="12"/>
        <v>18638</v>
      </c>
      <c r="Q9" s="368">
        <v>14109</v>
      </c>
      <c r="R9" s="306">
        <v>4529</v>
      </c>
      <c r="U9" s="358">
        <v>29053</v>
      </c>
      <c r="V9" s="358">
        <f t="shared" si="16"/>
        <v>8015</v>
      </c>
      <c r="AA9" s="305">
        <v>37872</v>
      </c>
      <c r="AB9" s="358">
        <f t="shared" si="17"/>
        <v>16834</v>
      </c>
    </row>
    <row r="10" spans="1:28" s="358" customFormat="1" ht="24" customHeight="1">
      <c r="A10" s="309" t="s">
        <v>143</v>
      </c>
      <c r="B10" s="368">
        <f>47579+3000</f>
        <v>50579</v>
      </c>
      <c r="C10" s="368">
        <v>54011</v>
      </c>
      <c r="D10" s="369">
        <f t="shared" si="18"/>
        <v>6.7854247810356076</v>
      </c>
      <c r="E10" s="370">
        <v>44840</v>
      </c>
      <c r="F10" s="363">
        <v>22443</v>
      </c>
      <c r="G10" s="363">
        <f t="shared" si="7"/>
        <v>51079.061849820318</v>
      </c>
      <c r="H10" s="371">
        <f t="shared" si="8"/>
        <v>51079</v>
      </c>
      <c r="I10" s="363">
        <f t="shared" si="9"/>
        <v>28136</v>
      </c>
      <c r="J10" s="363">
        <f t="shared" si="10"/>
        <v>-5739</v>
      </c>
      <c r="L10" s="378">
        <f t="shared" si="11"/>
        <v>42491</v>
      </c>
      <c r="M10" s="368">
        <v>41911</v>
      </c>
      <c r="N10" s="378">
        <v>580</v>
      </c>
      <c r="P10" s="378">
        <f t="shared" si="12"/>
        <v>47579</v>
      </c>
      <c r="Q10" s="368">
        <v>33488</v>
      </c>
      <c r="R10" s="306">
        <v>14091</v>
      </c>
      <c r="U10" s="358">
        <v>89195</v>
      </c>
      <c r="V10" s="358">
        <f t="shared" si="16"/>
        <v>38616</v>
      </c>
      <c r="AA10" s="305">
        <v>84358</v>
      </c>
      <c r="AB10" s="358">
        <f t="shared" si="17"/>
        <v>33779</v>
      </c>
    </row>
    <row r="11" spans="1:28" s="358" customFormat="1" ht="24" customHeight="1">
      <c r="A11" s="309" t="s">
        <v>144</v>
      </c>
      <c r="B11" s="368">
        <v>595023</v>
      </c>
      <c r="C11" s="368">
        <v>632057</v>
      </c>
      <c r="D11" s="369">
        <f t="shared" si="18"/>
        <v>6.2239610905796914</v>
      </c>
      <c r="E11" s="370">
        <v>482399</v>
      </c>
      <c r="F11" s="363">
        <v>368333</v>
      </c>
      <c r="G11" s="363">
        <f t="shared" si="7"/>
        <v>597746.35899375833</v>
      </c>
      <c r="H11" s="371">
        <f t="shared" si="8"/>
        <v>597746</v>
      </c>
      <c r="I11" s="363">
        <f t="shared" si="9"/>
        <v>226690</v>
      </c>
      <c r="J11" s="363">
        <f t="shared" si="10"/>
        <v>-112624</v>
      </c>
      <c r="L11" s="378">
        <f t="shared" si="11"/>
        <v>495578</v>
      </c>
      <c r="M11" s="368">
        <v>491545</v>
      </c>
      <c r="N11" s="379">
        <v>4033</v>
      </c>
      <c r="P11" s="378">
        <f t="shared" si="12"/>
        <v>575023</v>
      </c>
      <c r="Q11" s="368">
        <v>474337</v>
      </c>
      <c r="R11" s="306">
        <v>100686</v>
      </c>
      <c r="U11" s="358">
        <v>720533</v>
      </c>
      <c r="V11" s="358">
        <f t="shared" si="16"/>
        <v>125510</v>
      </c>
      <c r="AA11" s="305">
        <v>690633</v>
      </c>
      <c r="AB11" s="358">
        <f t="shared" si="17"/>
        <v>95610</v>
      </c>
    </row>
    <row r="12" spans="1:28" s="358" customFormat="1" ht="24" customHeight="1">
      <c r="A12" s="309" t="s">
        <v>145</v>
      </c>
      <c r="B12" s="368">
        <v>333580</v>
      </c>
      <c r="C12" s="368">
        <v>353388</v>
      </c>
      <c r="D12" s="369">
        <f t="shared" si="18"/>
        <v>5.9380058756520171</v>
      </c>
      <c r="E12" s="370">
        <v>305622</v>
      </c>
      <c r="F12" s="363">
        <v>197246</v>
      </c>
      <c r="G12" s="363">
        <f t="shared" si="7"/>
        <v>334204.6529222622</v>
      </c>
      <c r="H12" s="371">
        <f t="shared" si="8"/>
        <v>334205</v>
      </c>
      <c r="I12" s="363">
        <f t="shared" si="9"/>
        <v>136334</v>
      </c>
      <c r="J12" s="363">
        <f t="shared" si="10"/>
        <v>-27958</v>
      </c>
      <c r="L12" s="378">
        <f t="shared" si="11"/>
        <v>269864</v>
      </c>
      <c r="M12" s="368">
        <v>269714</v>
      </c>
      <c r="N12" s="378">
        <v>150</v>
      </c>
      <c r="P12" s="378">
        <f t="shared" si="12"/>
        <v>343580</v>
      </c>
      <c r="Q12" s="368">
        <v>321435</v>
      </c>
      <c r="R12" s="306">
        <v>22145</v>
      </c>
      <c r="U12" s="358">
        <v>417250</v>
      </c>
      <c r="V12" s="358">
        <f t="shared" si="16"/>
        <v>83670</v>
      </c>
      <c r="AA12" s="305">
        <v>380847</v>
      </c>
      <c r="AB12" s="358">
        <f t="shared" si="17"/>
        <v>47267</v>
      </c>
    </row>
    <row r="13" spans="1:28" s="358" customFormat="1" ht="24" customHeight="1">
      <c r="A13" s="309" t="s">
        <v>146</v>
      </c>
      <c r="B13" s="368">
        <v>72776</v>
      </c>
      <c r="C13" s="368">
        <v>78662</v>
      </c>
      <c r="D13" s="369">
        <f t="shared" si="18"/>
        <v>8.0878311531274054</v>
      </c>
      <c r="E13" s="370">
        <v>58066</v>
      </c>
      <c r="F13" s="363">
        <v>17664</v>
      </c>
      <c r="G13" s="363">
        <f t="shared" si="7"/>
        <v>74391.904671836586</v>
      </c>
      <c r="H13" s="371">
        <f t="shared" si="8"/>
        <v>74392</v>
      </c>
      <c r="I13" s="363">
        <f t="shared" si="9"/>
        <v>55112</v>
      </c>
      <c r="J13" s="363">
        <f t="shared" si="10"/>
        <v>-14710</v>
      </c>
      <c r="L13" s="378">
        <f t="shared" si="11"/>
        <v>47830</v>
      </c>
      <c r="M13" s="368">
        <v>47830</v>
      </c>
      <c r="N13" s="378"/>
      <c r="P13" s="378">
        <f t="shared" si="12"/>
        <v>71776</v>
      </c>
      <c r="Q13" s="368">
        <v>65324</v>
      </c>
      <c r="R13" s="306">
        <v>6452</v>
      </c>
      <c r="U13" s="358">
        <v>127507</v>
      </c>
      <c r="V13" s="358">
        <f t="shared" si="16"/>
        <v>54731</v>
      </c>
      <c r="AA13" s="305">
        <v>77727</v>
      </c>
      <c r="AB13" s="358">
        <f t="shared" si="17"/>
        <v>4951</v>
      </c>
    </row>
    <row r="14" spans="1:28" s="358" customFormat="1" ht="24" customHeight="1">
      <c r="A14" s="309" t="s">
        <v>147</v>
      </c>
      <c r="B14" s="368">
        <v>132065</v>
      </c>
      <c r="C14" s="368">
        <v>134650</v>
      </c>
      <c r="D14" s="369">
        <f t="shared" si="18"/>
        <v>1.957369477151403</v>
      </c>
      <c r="E14" s="370">
        <v>101589</v>
      </c>
      <c r="F14" s="363">
        <v>64511</v>
      </c>
      <c r="G14" s="363">
        <f t="shared" si="7"/>
        <v>127340.64686968036</v>
      </c>
      <c r="H14" s="371">
        <f t="shared" si="8"/>
        <v>127341</v>
      </c>
      <c r="I14" s="363">
        <f t="shared" si="9"/>
        <v>67554</v>
      </c>
      <c r="J14" s="363">
        <f t="shared" si="10"/>
        <v>-30476</v>
      </c>
      <c r="L14" s="378">
        <f t="shared" si="11"/>
        <v>98662</v>
      </c>
      <c r="M14" s="368">
        <v>89750</v>
      </c>
      <c r="N14" s="379">
        <v>8912</v>
      </c>
      <c r="P14" s="378">
        <f t="shared" si="12"/>
        <v>118065</v>
      </c>
      <c r="Q14" s="368">
        <v>81177</v>
      </c>
      <c r="R14" s="306">
        <v>36888</v>
      </c>
      <c r="U14" s="358">
        <v>152957</v>
      </c>
      <c r="V14" s="358">
        <f t="shared" si="16"/>
        <v>20892</v>
      </c>
      <c r="AA14" s="305">
        <v>163672</v>
      </c>
      <c r="AB14" s="358">
        <f t="shared" si="17"/>
        <v>31607</v>
      </c>
    </row>
    <row r="15" spans="1:28" s="358" customFormat="1" ht="24" customHeight="1">
      <c r="A15" s="309" t="s">
        <v>148</v>
      </c>
      <c r="B15" s="368">
        <v>341125</v>
      </c>
      <c r="C15" s="368">
        <v>366772</v>
      </c>
      <c r="D15" s="369">
        <f t="shared" si="18"/>
        <v>7.5183583730304138</v>
      </c>
      <c r="E15" s="370">
        <v>355197</v>
      </c>
      <c r="F15" s="363">
        <v>188350</v>
      </c>
      <c r="G15" s="363">
        <f t="shared" si="7"/>
        <v>346862.11462076794</v>
      </c>
      <c r="H15" s="371">
        <f t="shared" si="8"/>
        <v>346862</v>
      </c>
      <c r="I15" s="363">
        <f t="shared" si="9"/>
        <v>152775</v>
      </c>
      <c r="J15" s="363">
        <f t="shared" si="10"/>
        <v>14072</v>
      </c>
      <c r="L15" s="378">
        <f t="shared" si="11"/>
        <v>315651</v>
      </c>
      <c r="M15" s="368">
        <v>314889</v>
      </c>
      <c r="N15" s="378">
        <v>762</v>
      </c>
      <c r="P15" s="378">
        <f t="shared" si="12"/>
        <v>361125</v>
      </c>
      <c r="Q15" s="368">
        <v>344627</v>
      </c>
      <c r="R15" s="306">
        <v>16498</v>
      </c>
      <c r="U15" s="358">
        <v>320435</v>
      </c>
      <c r="V15" s="358">
        <f t="shared" si="16"/>
        <v>-20690</v>
      </c>
      <c r="AA15" s="23">
        <v>540986</v>
      </c>
      <c r="AB15" s="358">
        <f t="shared" si="17"/>
        <v>199861</v>
      </c>
    </row>
    <row r="16" spans="1:28" s="358" customFormat="1" ht="24" customHeight="1">
      <c r="A16" s="309" t="s">
        <v>149</v>
      </c>
      <c r="B16" s="368">
        <v>95230</v>
      </c>
      <c r="C16" s="368">
        <v>95627</v>
      </c>
      <c r="D16" s="369">
        <f t="shared" si="18"/>
        <v>0.41688543526199728</v>
      </c>
      <c r="E16" s="370">
        <v>106784</v>
      </c>
      <c r="F16" s="363">
        <v>39787</v>
      </c>
      <c r="G16" s="363">
        <f t="shared" si="7"/>
        <v>90435.975033100069</v>
      </c>
      <c r="H16" s="371">
        <f t="shared" si="8"/>
        <v>90436</v>
      </c>
      <c r="I16" s="363">
        <f t="shared" si="9"/>
        <v>55443</v>
      </c>
      <c r="J16" s="363">
        <f t="shared" si="10"/>
        <v>11554</v>
      </c>
      <c r="L16" s="378">
        <f t="shared" si="11"/>
        <v>84651</v>
      </c>
      <c r="M16" s="368">
        <v>84347</v>
      </c>
      <c r="N16" s="378">
        <v>304</v>
      </c>
      <c r="P16" s="378">
        <f t="shared" si="12"/>
        <v>102230</v>
      </c>
      <c r="Q16" s="368">
        <v>70996</v>
      </c>
      <c r="R16" s="306">
        <v>31234</v>
      </c>
      <c r="U16" s="358">
        <v>96380</v>
      </c>
      <c r="V16" s="358">
        <f t="shared" si="16"/>
        <v>1150</v>
      </c>
      <c r="AA16" s="23">
        <v>144684</v>
      </c>
      <c r="AB16" s="358">
        <f t="shared" si="17"/>
        <v>49454</v>
      </c>
    </row>
    <row r="17" spans="1:256" s="358" customFormat="1" ht="24" customHeight="1">
      <c r="A17" s="309" t="s">
        <v>150</v>
      </c>
      <c r="B17" s="368">
        <v>38075</v>
      </c>
      <c r="C17" s="368">
        <v>38728</v>
      </c>
      <c r="D17" s="369">
        <f t="shared" si="18"/>
        <v>1.7150361129349967</v>
      </c>
      <c r="E17" s="370">
        <v>97858</v>
      </c>
      <c r="F17" s="363">
        <v>95230</v>
      </c>
      <c r="G17" s="363">
        <f t="shared" si="7"/>
        <v>36625.685644032535</v>
      </c>
      <c r="H17" s="371">
        <f t="shared" si="8"/>
        <v>36626</v>
      </c>
      <c r="I17" s="363">
        <f t="shared" si="9"/>
        <v>-57155</v>
      </c>
      <c r="J17" s="363">
        <f t="shared" si="10"/>
        <v>59783</v>
      </c>
      <c r="L17" s="378">
        <f t="shared" si="11"/>
        <v>61832</v>
      </c>
      <c r="M17" s="368">
        <v>59907</v>
      </c>
      <c r="N17" s="379">
        <v>1925</v>
      </c>
      <c r="P17" s="378">
        <f t="shared" si="12"/>
        <v>55075</v>
      </c>
      <c r="Q17" s="368">
        <f>42738+9121</f>
        <v>51859</v>
      </c>
      <c r="R17" s="306">
        <v>3216</v>
      </c>
      <c r="U17" s="358">
        <v>58613</v>
      </c>
      <c r="V17" s="358">
        <f t="shared" si="16"/>
        <v>20538</v>
      </c>
      <c r="AA17" s="23">
        <v>59529</v>
      </c>
      <c r="AB17" s="358">
        <f t="shared" si="17"/>
        <v>21454</v>
      </c>
    </row>
    <row r="18" spans="1:256" s="358" customFormat="1" ht="24" customHeight="1">
      <c r="A18" s="309" t="s">
        <v>151</v>
      </c>
      <c r="B18" s="368">
        <v>9824</v>
      </c>
      <c r="C18" s="368">
        <v>9993</v>
      </c>
      <c r="D18" s="369">
        <f t="shared" si="18"/>
        <v>1.7202768729641695</v>
      </c>
      <c r="E18" s="370">
        <v>15023</v>
      </c>
      <c r="F18" s="363">
        <v>8777</v>
      </c>
      <c r="G18" s="363">
        <f t="shared" si="7"/>
        <v>9450.5390580669573</v>
      </c>
      <c r="H18" s="371">
        <f t="shared" si="8"/>
        <v>9451</v>
      </c>
      <c r="I18" s="363">
        <f t="shared" si="9"/>
        <v>1047</v>
      </c>
      <c r="J18" s="363">
        <f t="shared" si="10"/>
        <v>5199</v>
      </c>
      <c r="L18" s="378">
        <f t="shared" si="11"/>
        <v>9591</v>
      </c>
      <c r="M18" s="368">
        <v>8791</v>
      </c>
      <c r="N18" s="378">
        <v>800</v>
      </c>
      <c r="P18" s="378">
        <f t="shared" si="12"/>
        <v>9024</v>
      </c>
      <c r="Q18" s="368">
        <v>7833</v>
      </c>
      <c r="R18" s="306">
        <v>1191</v>
      </c>
      <c r="U18" s="358">
        <v>14496</v>
      </c>
      <c r="V18" s="358">
        <f t="shared" si="16"/>
        <v>4672</v>
      </c>
      <c r="AA18" s="23">
        <v>18993</v>
      </c>
      <c r="AB18" s="358">
        <f t="shared" si="17"/>
        <v>9169</v>
      </c>
    </row>
    <row r="19" spans="1:256" s="358" customFormat="1" ht="24" customHeight="1">
      <c r="A19" s="309" t="s">
        <v>152</v>
      </c>
      <c r="B19" s="368">
        <v>528</v>
      </c>
      <c r="C19" s="368">
        <v>565</v>
      </c>
      <c r="D19" s="369">
        <f t="shared" si="18"/>
        <v>7.0075757575757569</v>
      </c>
      <c r="E19" s="370">
        <v>204</v>
      </c>
      <c r="F19" s="363">
        <v>329</v>
      </c>
      <c r="G19" s="363">
        <f t="shared" si="7"/>
        <v>534.32948742197846</v>
      </c>
      <c r="H19" s="371">
        <f t="shared" si="8"/>
        <v>534</v>
      </c>
      <c r="I19" s="363">
        <f t="shared" si="9"/>
        <v>199</v>
      </c>
      <c r="J19" s="363">
        <f t="shared" si="10"/>
        <v>-324</v>
      </c>
      <c r="L19" s="378">
        <f t="shared" si="11"/>
        <v>88</v>
      </c>
      <c r="M19" s="368">
        <v>88</v>
      </c>
      <c r="N19" s="378"/>
      <c r="P19" s="378">
        <f t="shared" si="12"/>
        <v>183</v>
      </c>
      <c r="Q19" s="368">
        <v>183</v>
      </c>
      <c r="R19" s="306">
        <v>0</v>
      </c>
      <c r="U19" s="358">
        <v>482</v>
      </c>
      <c r="V19" s="358">
        <f t="shared" si="16"/>
        <v>-46</v>
      </c>
      <c r="AA19" s="23">
        <v>398</v>
      </c>
      <c r="AB19" s="358">
        <f t="shared" si="17"/>
        <v>-130</v>
      </c>
    </row>
    <row r="20" spans="1:256" s="358" customFormat="1" ht="24" customHeight="1">
      <c r="A20" s="372" t="s">
        <v>153</v>
      </c>
      <c r="B20" s="368">
        <v>0</v>
      </c>
      <c r="C20" s="368">
        <v>0</v>
      </c>
      <c r="D20" s="369"/>
      <c r="E20" s="370"/>
      <c r="F20" s="363"/>
      <c r="G20" s="363">
        <f t="shared" si="7"/>
        <v>0</v>
      </c>
      <c r="H20" s="371">
        <f t="shared" si="8"/>
        <v>0</v>
      </c>
      <c r="I20" s="363">
        <f t="shared" si="9"/>
        <v>0</v>
      </c>
      <c r="J20" s="363">
        <f t="shared" si="10"/>
        <v>0</v>
      </c>
      <c r="L20" s="378">
        <f t="shared" si="11"/>
        <v>0</v>
      </c>
      <c r="M20" s="368">
        <v>0</v>
      </c>
      <c r="N20" s="378"/>
      <c r="P20" s="378">
        <f t="shared" si="12"/>
        <v>0</v>
      </c>
      <c r="Q20" s="368">
        <v>0</v>
      </c>
      <c r="R20" s="306">
        <v>0</v>
      </c>
      <c r="U20" s="358">
        <v>0</v>
      </c>
      <c r="V20" s="358">
        <f t="shared" si="16"/>
        <v>0</v>
      </c>
      <c r="AA20" s="23"/>
      <c r="AB20" s="358">
        <f t="shared" si="17"/>
        <v>0</v>
      </c>
    </row>
    <row r="21" spans="1:256" s="358" customFormat="1" ht="24" customHeight="1">
      <c r="A21" s="372" t="s">
        <v>154</v>
      </c>
      <c r="B21" s="368">
        <f>27661</f>
        <v>27661</v>
      </c>
      <c r="C21" s="368">
        <v>28737</v>
      </c>
      <c r="D21" s="369">
        <f t="shared" ref="D21:D24" si="19">(C21-B21)/B21*100</f>
        <v>3.8899533639420123</v>
      </c>
      <c r="E21" s="370">
        <v>21084</v>
      </c>
      <c r="F21" s="363">
        <v>14515</v>
      </c>
      <c r="G21" s="363">
        <f t="shared" si="7"/>
        <v>27177.038017779461</v>
      </c>
      <c r="H21" s="371">
        <f t="shared" si="8"/>
        <v>27177</v>
      </c>
      <c r="I21" s="363">
        <f t="shared" si="9"/>
        <v>13146</v>
      </c>
      <c r="J21" s="363">
        <f t="shared" si="10"/>
        <v>-6577</v>
      </c>
      <c r="L21" s="378">
        <f t="shared" si="11"/>
        <v>18038</v>
      </c>
      <c r="M21" s="368">
        <v>18038</v>
      </c>
      <c r="N21" s="378"/>
      <c r="P21" s="378">
        <f t="shared" si="12"/>
        <v>26661</v>
      </c>
      <c r="Q21" s="368">
        <v>20285</v>
      </c>
      <c r="R21" s="306">
        <v>6376</v>
      </c>
      <c r="U21" s="358">
        <v>30499</v>
      </c>
      <c r="V21" s="358">
        <f t="shared" si="16"/>
        <v>2838</v>
      </c>
      <c r="X21" s="358">
        <v>-5000</v>
      </c>
      <c r="AA21" s="23">
        <v>36824</v>
      </c>
      <c r="AB21" s="358">
        <f t="shared" si="17"/>
        <v>9163</v>
      </c>
    </row>
    <row r="22" spans="1:256" s="358" customFormat="1" ht="24" customHeight="1">
      <c r="A22" s="372" t="s">
        <v>155</v>
      </c>
      <c r="B22" s="368">
        <v>118571</v>
      </c>
      <c r="C22" s="368">
        <v>126625</v>
      </c>
      <c r="D22" s="369">
        <f t="shared" si="19"/>
        <v>6.7925546718843561</v>
      </c>
      <c r="E22" s="370">
        <v>203180</v>
      </c>
      <c r="F22" s="363">
        <v>73807</v>
      </c>
      <c r="G22" s="363">
        <f t="shared" si="7"/>
        <v>119751.27671647439</v>
      </c>
      <c r="H22" s="371">
        <f t="shared" si="8"/>
        <v>119751</v>
      </c>
      <c r="I22" s="363">
        <f t="shared" si="9"/>
        <v>44764</v>
      </c>
      <c r="J22" s="363">
        <f t="shared" si="10"/>
        <v>84609</v>
      </c>
      <c r="L22" s="378">
        <f t="shared" si="11"/>
        <v>156114</v>
      </c>
      <c r="M22" s="368">
        <v>156114</v>
      </c>
      <c r="N22" s="378"/>
      <c r="P22" s="378">
        <f t="shared" si="12"/>
        <v>153571</v>
      </c>
      <c r="Q22" s="368">
        <v>133731</v>
      </c>
      <c r="R22" s="306">
        <v>19840</v>
      </c>
      <c r="U22" s="358">
        <v>161992</v>
      </c>
      <c r="V22" s="358">
        <f t="shared" si="16"/>
        <v>43421</v>
      </c>
      <c r="AA22" s="23">
        <v>154278</v>
      </c>
      <c r="AB22" s="358">
        <f t="shared" si="17"/>
        <v>35707</v>
      </c>
    </row>
    <row r="23" spans="1:256" ht="24" customHeight="1">
      <c r="A23" s="372" t="s">
        <v>156</v>
      </c>
      <c r="B23" s="373">
        <v>7294</v>
      </c>
      <c r="C23" s="373">
        <v>7391</v>
      </c>
      <c r="D23" s="369">
        <f t="shared" si="19"/>
        <v>1.3298601590348231</v>
      </c>
      <c r="E23" s="370">
        <v>9882</v>
      </c>
      <c r="F23" s="365">
        <v>3068</v>
      </c>
      <c r="G23" s="363">
        <f t="shared" si="7"/>
        <v>6989.7862682050318</v>
      </c>
      <c r="H23" s="371">
        <f t="shared" si="8"/>
        <v>6990</v>
      </c>
      <c r="I23" s="363">
        <f t="shared" si="9"/>
        <v>4226</v>
      </c>
      <c r="J23" s="363">
        <f t="shared" si="10"/>
        <v>2588</v>
      </c>
      <c r="L23" s="378">
        <f t="shared" si="11"/>
        <v>4875</v>
      </c>
      <c r="M23" s="368">
        <v>4875</v>
      </c>
      <c r="N23" s="380"/>
      <c r="P23" s="378">
        <f t="shared" si="12"/>
        <v>5294</v>
      </c>
      <c r="Q23" s="373">
        <v>4381</v>
      </c>
      <c r="R23" s="312">
        <v>913</v>
      </c>
      <c r="U23" s="359">
        <v>8473</v>
      </c>
      <c r="V23" s="358">
        <f t="shared" si="16"/>
        <v>1179</v>
      </c>
      <c r="AA23" s="23">
        <v>16086</v>
      </c>
      <c r="AB23" s="358">
        <f t="shared" si="17"/>
        <v>8792</v>
      </c>
    </row>
    <row r="24" spans="1:256" ht="24" customHeight="1">
      <c r="A24" s="372" t="s">
        <v>157</v>
      </c>
      <c r="B24" s="373">
        <v>66756</v>
      </c>
      <c r="C24" s="373">
        <v>72910</v>
      </c>
      <c r="D24" s="369">
        <f t="shared" si="19"/>
        <v>9.2186470130025757</v>
      </c>
      <c r="E24" s="370"/>
      <c r="F24" s="365"/>
      <c r="G24" s="363"/>
      <c r="H24" s="371"/>
      <c r="I24" s="363"/>
      <c r="J24" s="363"/>
      <c r="L24" s="378">
        <f t="shared" si="11"/>
        <v>51716</v>
      </c>
      <c r="M24" s="373">
        <v>39621</v>
      </c>
      <c r="N24" s="381">
        <v>12095</v>
      </c>
      <c r="P24" s="378">
        <f t="shared" si="12"/>
        <v>61454</v>
      </c>
      <c r="Q24" s="373">
        <v>57158</v>
      </c>
      <c r="R24" s="312">
        <v>4296</v>
      </c>
      <c r="U24" s="359">
        <v>30818</v>
      </c>
      <c r="V24" s="358">
        <f t="shared" si="16"/>
        <v>-35938</v>
      </c>
      <c r="AA24" s="23">
        <v>66756</v>
      </c>
      <c r="AB24" s="358">
        <f t="shared" si="17"/>
        <v>0</v>
      </c>
    </row>
    <row r="25" spans="1:256" ht="24" customHeight="1">
      <c r="A25" s="372" t="s">
        <v>158</v>
      </c>
      <c r="B25" s="373">
        <v>6793</v>
      </c>
      <c r="C25" s="373">
        <v>57964</v>
      </c>
      <c r="D25" s="369"/>
      <c r="E25" s="374">
        <v>42009</v>
      </c>
      <c r="F25" s="365">
        <v>49185</v>
      </c>
      <c r="G25" s="363">
        <f>C25/1.0574</f>
        <v>54817.476829960287</v>
      </c>
      <c r="H25" s="371">
        <f>ROUND(G25,0)</f>
        <v>54817</v>
      </c>
      <c r="I25" s="363">
        <f>+B25-F25</f>
        <v>-42392</v>
      </c>
      <c r="J25" s="363">
        <f>+E25-B25</f>
        <v>35216</v>
      </c>
      <c r="L25" s="378">
        <f t="shared" si="11"/>
        <v>54697</v>
      </c>
      <c r="M25" s="373">
        <v>54697</v>
      </c>
      <c r="N25" s="380"/>
      <c r="P25" s="378">
        <f t="shared" si="12"/>
        <v>30259</v>
      </c>
      <c r="Q25" s="373">
        <v>28669</v>
      </c>
      <c r="R25" s="312">
        <v>1590</v>
      </c>
      <c r="U25" s="359">
        <v>11233</v>
      </c>
      <c r="V25" s="358">
        <f t="shared" si="16"/>
        <v>4440</v>
      </c>
      <c r="AA25" s="23">
        <v>6793</v>
      </c>
      <c r="AB25" s="358">
        <f t="shared" si="17"/>
        <v>0</v>
      </c>
    </row>
    <row r="26" spans="1:256" ht="24" customHeight="1">
      <c r="A26" s="375" t="s">
        <v>291</v>
      </c>
      <c r="B26" s="373">
        <f>SUM(B4:B25)</f>
        <v>2915730</v>
      </c>
      <c r="C26" s="373">
        <f>SUM(C4:C25)</f>
        <v>3150448</v>
      </c>
      <c r="D26" s="369">
        <f>(C26-B26)/B26*100</f>
        <v>8.0500595048238353</v>
      </c>
      <c r="E26" s="374">
        <v>2693479</v>
      </c>
      <c r="F26" s="365">
        <v>1895436</v>
      </c>
      <c r="G26" s="363">
        <f>C26/1.0574</f>
        <v>2979428.7875922075</v>
      </c>
      <c r="H26" s="371">
        <f>ROUND(G26,0)</f>
        <v>2979429</v>
      </c>
      <c r="I26" s="365"/>
      <c r="J26" s="365"/>
      <c r="L26" s="378">
        <f t="shared" si="11"/>
        <v>2621787</v>
      </c>
      <c r="M26" s="373">
        <f t="shared" ref="M26" si="20">SUM(M4:M25)</f>
        <v>2574260</v>
      </c>
      <c r="N26" s="381">
        <v>47527</v>
      </c>
      <c r="P26" s="378">
        <f t="shared" si="12"/>
        <v>2968686</v>
      </c>
      <c r="Q26" s="373">
        <f>SUM(Q4:Q25)</f>
        <v>2537270</v>
      </c>
      <c r="R26" s="316">
        <f>SUM(R4:R25)</f>
        <v>431416</v>
      </c>
      <c r="U26" s="359">
        <v>3488433</v>
      </c>
      <c r="V26" s="358">
        <f t="shared" si="16"/>
        <v>572703</v>
      </c>
      <c r="AA26" s="359">
        <f>SUM(AA4:AA25)</f>
        <v>3561095</v>
      </c>
      <c r="AB26" s="358">
        <f t="shared" si="17"/>
        <v>645365</v>
      </c>
    </row>
    <row r="27" spans="1:256">
      <c r="A27" s="365"/>
      <c r="B27" s="365"/>
      <c r="C27" s="365"/>
      <c r="D27" s="365"/>
      <c r="E27" s="365"/>
      <c r="F27" s="365" t="s">
        <v>292</v>
      </c>
      <c r="G27" s="365"/>
      <c r="H27" s="365"/>
      <c r="I27" s="365"/>
      <c r="J27" s="365"/>
      <c r="N27" s="382"/>
    </row>
    <row r="28" spans="1:256">
      <c r="A28" s="365"/>
      <c r="B28" s="365"/>
      <c r="C28" s="365"/>
      <c r="D28" s="365"/>
      <c r="E28" s="365"/>
      <c r="F28" s="365" t="s">
        <v>293</v>
      </c>
      <c r="G28" s="365"/>
      <c r="H28" s="365"/>
      <c r="I28" s="365"/>
      <c r="J28" s="365"/>
      <c r="N28" s="382"/>
      <c r="P28" s="359">
        <v>2993986</v>
      </c>
    </row>
    <row r="29" spans="1:256">
      <c r="A29" s="365"/>
      <c r="B29" s="365"/>
      <c r="C29" s="365"/>
      <c r="D29" s="365"/>
      <c r="E29" s="365"/>
      <c r="F29" s="365" t="s">
        <v>294</v>
      </c>
      <c r="G29" s="365"/>
      <c r="H29" s="365"/>
      <c r="I29" s="365"/>
      <c r="J29" s="365"/>
      <c r="P29" s="359">
        <v>7000</v>
      </c>
    </row>
    <row r="30" spans="1:256">
      <c r="A30" s="365"/>
      <c r="B30" s="365"/>
      <c r="C30" s="365"/>
      <c r="D30" s="365"/>
      <c r="E30" s="365"/>
      <c r="F30" s="365">
        <f>+F26+42300+66490+85732</f>
        <v>2089958</v>
      </c>
      <c r="G30" s="365"/>
      <c r="H30" s="365"/>
      <c r="I30" s="365"/>
      <c r="J30" s="365"/>
      <c r="P30" s="359">
        <f>+P28+P29</f>
        <v>3000986</v>
      </c>
    </row>
    <row r="31" spans="1:256" customFormat="1">
      <c r="A31" s="359"/>
      <c r="B31" s="360"/>
      <c r="C31" s="359"/>
      <c r="D31" s="359"/>
      <c r="E31" s="359"/>
      <c r="F31" s="359"/>
      <c r="G31" s="359"/>
      <c r="H31" s="359"/>
      <c r="I31" s="359"/>
      <c r="J31" s="359"/>
      <c r="K31" s="359"/>
      <c r="L31" s="359"/>
      <c r="M31" s="359"/>
      <c r="N31" s="359"/>
      <c r="O31" s="359"/>
      <c r="P31" s="359">
        <f>+P30-P26</f>
        <v>32300</v>
      </c>
      <c r="Q31" s="359"/>
      <c r="R31" s="359"/>
      <c r="S31" s="359"/>
      <c r="T31" s="359"/>
      <c r="U31" s="359"/>
      <c r="V31" s="359"/>
      <c r="W31" s="359"/>
      <c r="X31" s="359"/>
      <c r="Y31" s="359"/>
      <c r="Z31" s="359"/>
      <c r="AA31" s="359"/>
      <c r="AB31" s="359"/>
      <c r="AC31" s="359"/>
      <c r="AD31" s="359"/>
      <c r="AE31" s="359"/>
      <c r="AF31" s="359"/>
      <c r="AG31" s="359"/>
      <c r="AH31" s="359"/>
      <c r="AI31" s="359"/>
      <c r="AJ31" s="359"/>
      <c r="AK31" s="359"/>
      <c r="AL31" s="359"/>
      <c r="AM31" s="359"/>
      <c r="AN31" s="359"/>
      <c r="AO31" s="359"/>
      <c r="AP31" s="359"/>
      <c r="AQ31" s="359"/>
      <c r="AR31" s="359"/>
      <c r="AS31" s="359"/>
      <c r="AT31" s="359"/>
      <c r="AU31" s="359"/>
      <c r="AV31" s="359"/>
      <c r="AW31" s="359"/>
      <c r="AX31" s="359"/>
      <c r="AY31" s="359"/>
      <c r="AZ31" s="359"/>
      <c r="BA31" s="359"/>
      <c r="BB31" s="359"/>
      <c r="BC31" s="359"/>
      <c r="BD31" s="359"/>
      <c r="BE31" s="359"/>
      <c r="BF31" s="359"/>
      <c r="BG31" s="359"/>
      <c r="BH31" s="359"/>
      <c r="BI31" s="359"/>
      <c r="BJ31" s="359"/>
      <c r="BK31" s="359"/>
      <c r="BL31" s="359"/>
      <c r="BM31" s="359"/>
      <c r="BN31" s="359"/>
      <c r="BO31" s="359"/>
      <c r="BP31" s="359"/>
      <c r="BQ31" s="359"/>
      <c r="BR31" s="359"/>
      <c r="BS31" s="359"/>
      <c r="BT31" s="359"/>
      <c r="BU31" s="359"/>
      <c r="BV31" s="359"/>
      <c r="BW31" s="359"/>
      <c r="BX31" s="359"/>
      <c r="BY31" s="359"/>
      <c r="BZ31" s="359"/>
      <c r="CA31" s="359"/>
      <c r="CB31" s="359"/>
      <c r="CC31" s="359"/>
      <c r="CD31" s="359"/>
      <c r="CE31" s="359"/>
      <c r="CF31" s="359"/>
      <c r="CG31" s="359"/>
      <c r="CH31" s="359"/>
      <c r="CI31" s="359"/>
      <c r="CJ31" s="359"/>
      <c r="CK31" s="359"/>
      <c r="CL31" s="359"/>
      <c r="CM31" s="359"/>
      <c r="CN31" s="359"/>
      <c r="CO31" s="359"/>
      <c r="CP31" s="359"/>
      <c r="CQ31" s="359"/>
      <c r="CR31" s="359"/>
      <c r="CS31" s="359"/>
      <c r="CT31" s="359"/>
      <c r="CU31" s="359"/>
      <c r="CV31" s="359"/>
      <c r="CW31" s="359"/>
      <c r="CX31" s="359"/>
      <c r="CY31" s="359"/>
      <c r="CZ31" s="359"/>
      <c r="DA31" s="359"/>
      <c r="DB31" s="359"/>
      <c r="DC31" s="359"/>
      <c r="DD31" s="359"/>
      <c r="DE31" s="359"/>
      <c r="DF31" s="359"/>
      <c r="DG31" s="359"/>
      <c r="DH31" s="359"/>
      <c r="DI31" s="359"/>
      <c r="DJ31" s="359"/>
      <c r="DK31" s="359"/>
      <c r="DL31" s="359"/>
      <c r="DM31" s="359"/>
      <c r="DN31" s="359"/>
      <c r="DO31" s="359"/>
      <c r="DP31" s="359"/>
      <c r="DQ31" s="359"/>
      <c r="DR31" s="359"/>
      <c r="DS31" s="359"/>
      <c r="DT31" s="359"/>
      <c r="DU31" s="359"/>
      <c r="DV31" s="359"/>
      <c r="DW31" s="359"/>
      <c r="DX31" s="359"/>
      <c r="DY31" s="359"/>
      <c r="DZ31" s="359"/>
      <c r="EA31" s="359"/>
      <c r="EB31" s="359"/>
      <c r="EC31" s="359"/>
      <c r="ED31" s="359"/>
      <c r="EE31" s="359"/>
      <c r="EF31" s="359"/>
      <c r="EG31" s="359"/>
      <c r="EH31" s="359"/>
      <c r="EI31" s="359"/>
      <c r="EJ31" s="359"/>
      <c r="EK31" s="359"/>
      <c r="EL31" s="359"/>
      <c r="EM31" s="359"/>
      <c r="EN31" s="359"/>
      <c r="EO31" s="359"/>
      <c r="EP31" s="359"/>
      <c r="EQ31" s="359"/>
      <c r="ER31" s="359"/>
      <c r="ES31" s="359"/>
      <c r="ET31" s="359"/>
      <c r="EU31" s="359"/>
      <c r="EV31" s="359"/>
      <c r="EW31" s="359"/>
      <c r="EX31" s="359"/>
      <c r="EY31" s="359"/>
      <c r="EZ31" s="359"/>
      <c r="FA31" s="359"/>
      <c r="FB31" s="359"/>
      <c r="FC31" s="359"/>
      <c r="FD31" s="359"/>
      <c r="FE31" s="359"/>
      <c r="FF31" s="359"/>
      <c r="FG31" s="359"/>
      <c r="FH31" s="359"/>
      <c r="FI31" s="359"/>
      <c r="FJ31" s="359"/>
      <c r="FK31" s="359"/>
      <c r="FL31" s="359"/>
      <c r="FM31" s="359"/>
      <c r="FN31" s="359"/>
      <c r="FO31" s="359"/>
      <c r="FP31" s="359"/>
      <c r="FQ31" s="359"/>
      <c r="FR31" s="359"/>
      <c r="FS31" s="359"/>
      <c r="FT31" s="359"/>
      <c r="FU31" s="359"/>
      <c r="FV31" s="359"/>
      <c r="FW31" s="359"/>
      <c r="FX31" s="359"/>
      <c r="FY31" s="359"/>
      <c r="FZ31" s="359"/>
      <c r="GA31" s="359"/>
      <c r="GB31" s="359"/>
      <c r="GC31" s="359"/>
      <c r="GD31" s="359"/>
      <c r="GE31" s="359"/>
      <c r="GF31" s="359"/>
      <c r="GG31" s="359"/>
      <c r="GH31" s="359"/>
      <c r="GI31" s="359"/>
      <c r="GJ31" s="359"/>
      <c r="GK31" s="359"/>
      <c r="GL31" s="359"/>
      <c r="GM31" s="359"/>
      <c r="GN31" s="359"/>
      <c r="GO31" s="359"/>
      <c r="GP31" s="359"/>
      <c r="GQ31" s="359"/>
      <c r="GR31" s="359"/>
      <c r="GS31" s="359"/>
      <c r="GT31" s="359"/>
      <c r="GU31" s="359"/>
      <c r="GV31" s="359"/>
      <c r="GW31" s="359"/>
      <c r="GX31" s="359"/>
      <c r="GY31" s="359"/>
      <c r="GZ31" s="359"/>
      <c r="HA31" s="359"/>
      <c r="HB31" s="359"/>
      <c r="HC31" s="359"/>
      <c r="HD31" s="359"/>
      <c r="HE31" s="359"/>
      <c r="HF31" s="359"/>
      <c r="HG31" s="359"/>
      <c r="HH31" s="359"/>
      <c r="HI31" s="359"/>
      <c r="HJ31" s="359"/>
      <c r="HK31" s="359"/>
      <c r="HL31" s="359"/>
      <c r="HM31" s="359"/>
      <c r="HN31" s="359"/>
      <c r="HO31" s="359"/>
      <c r="HP31" s="359"/>
      <c r="HQ31" s="359"/>
      <c r="HR31" s="359"/>
      <c r="HS31" s="359"/>
      <c r="HT31" s="359"/>
      <c r="HU31" s="359"/>
      <c r="HV31" s="359"/>
      <c r="HW31" s="359"/>
      <c r="HX31" s="359"/>
      <c r="HY31" s="359"/>
      <c r="HZ31" s="359"/>
      <c r="IA31" s="359"/>
      <c r="IB31" s="359"/>
      <c r="IC31" s="359"/>
      <c r="ID31" s="359"/>
      <c r="IE31" s="359"/>
      <c r="IF31" s="359"/>
      <c r="IG31" s="359"/>
      <c r="IH31" s="359"/>
      <c r="II31" s="359"/>
      <c r="IJ31" s="359"/>
      <c r="IK31" s="359"/>
      <c r="IL31" s="359"/>
      <c r="IM31" s="359"/>
      <c r="IN31" s="359"/>
      <c r="IO31" s="359"/>
      <c r="IP31" s="359"/>
      <c r="IQ31" s="359"/>
      <c r="IR31" s="359"/>
      <c r="IS31" s="359"/>
      <c r="IT31" s="359"/>
      <c r="IU31" s="359"/>
      <c r="IV31" s="359"/>
    </row>
    <row r="32" spans="1:256" customFormat="1">
      <c r="A32" s="359"/>
      <c r="B32" s="360"/>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359"/>
      <c r="AM32" s="359"/>
      <c r="AN32" s="359"/>
      <c r="AO32" s="359"/>
      <c r="AP32" s="359"/>
      <c r="AQ32" s="359"/>
      <c r="AR32" s="359"/>
      <c r="AS32" s="359"/>
      <c r="AT32" s="359"/>
      <c r="AU32" s="359"/>
      <c r="AV32" s="359"/>
      <c r="AW32" s="359"/>
      <c r="AX32" s="359"/>
      <c r="AY32" s="359"/>
      <c r="AZ32" s="359"/>
      <c r="BA32" s="359"/>
      <c r="BB32" s="359"/>
      <c r="BC32" s="359"/>
      <c r="BD32" s="359"/>
      <c r="BE32" s="359"/>
      <c r="BF32" s="359"/>
      <c r="BG32" s="359"/>
      <c r="BH32" s="359"/>
      <c r="BI32" s="359"/>
      <c r="BJ32" s="359"/>
      <c r="BK32" s="359"/>
      <c r="BL32" s="359"/>
      <c r="BM32" s="359"/>
      <c r="BN32" s="359"/>
      <c r="BO32" s="359"/>
      <c r="BP32" s="359"/>
      <c r="BQ32" s="359"/>
      <c r="BR32" s="359"/>
      <c r="BS32" s="359"/>
      <c r="BT32" s="359"/>
      <c r="BU32" s="359"/>
      <c r="BV32" s="359"/>
      <c r="BW32" s="359"/>
      <c r="BX32" s="359"/>
      <c r="BY32" s="359"/>
      <c r="BZ32" s="359"/>
      <c r="CA32" s="359"/>
      <c r="CB32" s="359"/>
      <c r="CC32" s="359"/>
      <c r="CD32" s="359"/>
      <c r="CE32" s="359"/>
      <c r="CF32" s="359"/>
      <c r="CG32" s="359"/>
      <c r="CH32" s="359"/>
      <c r="CI32" s="359"/>
      <c r="CJ32" s="359"/>
      <c r="CK32" s="359"/>
      <c r="CL32" s="359"/>
      <c r="CM32" s="359"/>
      <c r="CN32" s="359"/>
      <c r="CO32" s="359"/>
      <c r="CP32" s="359"/>
      <c r="CQ32" s="359"/>
      <c r="CR32" s="359"/>
      <c r="CS32" s="359"/>
      <c r="CT32" s="359"/>
      <c r="CU32" s="359"/>
      <c r="CV32" s="359"/>
      <c r="CW32" s="359"/>
      <c r="CX32" s="359"/>
      <c r="CY32" s="359"/>
      <c r="CZ32" s="359"/>
      <c r="DA32" s="359"/>
      <c r="DB32" s="359"/>
      <c r="DC32" s="359"/>
      <c r="DD32" s="359"/>
      <c r="DE32" s="359"/>
      <c r="DF32" s="359"/>
      <c r="DG32" s="359"/>
      <c r="DH32" s="359"/>
      <c r="DI32" s="359"/>
      <c r="DJ32" s="359"/>
      <c r="DK32" s="359"/>
      <c r="DL32" s="359"/>
      <c r="DM32" s="359"/>
      <c r="DN32" s="359"/>
      <c r="DO32" s="359"/>
      <c r="DP32" s="359"/>
      <c r="DQ32" s="359"/>
      <c r="DR32" s="359"/>
      <c r="DS32" s="359"/>
      <c r="DT32" s="359"/>
      <c r="DU32" s="359"/>
      <c r="DV32" s="359"/>
      <c r="DW32" s="359"/>
      <c r="DX32" s="359"/>
      <c r="DY32" s="359"/>
      <c r="DZ32" s="359"/>
      <c r="EA32" s="359"/>
      <c r="EB32" s="359"/>
      <c r="EC32" s="359"/>
      <c r="ED32" s="359"/>
      <c r="EE32" s="359"/>
      <c r="EF32" s="359"/>
      <c r="EG32" s="359"/>
      <c r="EH32" s="359"/>
      <c r="EI32" s="359"/>
      <c r="EJ32" s="359"/>
      <c r="EK32" s="359"/>
      <c r="EL32" s="359"/>
      <c r="EM32" s="359"/>
      <c r="EN32" s="359"/>
      <c r="EO32" s="359"/>
      <c r="EP32" s="359"/>
      <c r="EQ32" s="359"/>
      <c r="ER32" s="359"/>
      <c r="ES32" s="359"/>
      <c r="ET32" s="359"/>
      <c r="EU32" s="359"/>
      <c r="EV32" s="359"/>
      <c r="EW32" s="359"/>
      <c r="EX32" s="359"/>
      <c r="EY32" s="359"/>
      <c r="EZ32" s="359"/>
      <c r="FA32" s="359"/>
      <c r="FB32" s="359"/>
      <c r="FC32" s="359"/>
      <c r="FD32" s="359"/>
      <c r="FE32" s="359"/>
      <c r="FF32" s="359"/>
      <c r="FG32" s="359"/>
      <c r="FH32" s="359"/>
      <c r="FI32" s="359"/>
      <c r="FJ32" s="359"/>
      <c r="FK32" s="359"/>
      <c r="FL32" s="359"/>
      <c r="FM32" s="359"/>
      <c r="FN32" s="359"/>
      <c r="FO32" s="359"/>
      <c r="FP32" s="359"/>
      <c r="FQ32" s="359"/>
      <c r="FR32" s="359"/>
      <c r="FS32" s="359"/>
      <c r="FT32" s="359"/>
      <c r="FU32" s="359"/>
      <c r="FV32" s="359"/>
      <c r="FW32" s="359"/>
      <c r="FX32" s="359"/>
      <c r="FY32" s="359"/>
      <c r="FZ32" s="359"/>
      <c r="GA32" s="359"/>
      <c r="GB32" s="359"/>
      <c r="GC32" s="359"/>
      <c r="GD32" s="359"/>
      <c r="GE32" s="359"/>
      <c r="GF32" s="359"/>
      <c r="GG32" s="359"/>
      <c r="GH32" s="359"/>
      <c r="GI32" s="359"/>
      <c r="GJ32" s="359"/>
      <c r="GK32" s="359"/>
      <c r="GL32" s="359"/>
      <c r="GM32" s="359"/>
      <c r="GN32" s="359"/>
      <c r="GO32" s="359"/>
      <c r="GP32" s="359"/>
      <c r="GQ32" s="359"/>
      <c r="GR32" s="359"/>
      <c r="GS32" s="359"/>
      <c r="GT32" s="359"/>
      <c r="GU32" s="359"/>
      <c r="GV32" s="359"/>
      <c r="GW32" s="359"/>
      <c r="GX32" s="359"/>
      <c r="GY32" s="359"/>
      <c r="GZ32" s="359"/>
      <c r="HA32" s="359"/>
      <c r="HB32" s="359"/>
      <c r="HC32" s="359"/>
      <c r="HD32" s="359"/>
      <c r="HE32" s="359"/>
      <c r="HF32" s="359"/>
      <c r="HG32" s="359"/>
      <c r="HH32" s="359"/>
      <c r="HI32" s="359"/>
      <c r="HJ32" s="359"/>
      <c r="HK32" s="359"/>
      <c r="HL32" s="359"/>
      <c r="HM32" s="359"/>
      <c r="HN32" s="359"/>
      <c r="HO32" s="359"/>
      <c r="HP32" s="359"/>
      <c r="HQ32" s="359"/>
      <c r="HR32" s="359"/>
      <c r="HS32" s="359"/>
      <c r="HT32" s="359"/>
      <c r="HU32" s="359"/>
      <c r="HV32" s="359"/>
      <c r="HW32" s="359"/>
      <c r="HX32" s="359"/>
      <c r="HY32" s="359"/>
      <c r="HZ32" s="359"/>
      <c r="IA32" s="359"/>
      <c r="IB32" s="359"/>
      <c r="IC32" s="359"/>
      <c r="ID32" s="359"/>
      <c r="IE32" s="359"/>
      <c r="IF32" s="359"/>
      <c r="IG32" s="359"/>
      <c r="IH32" s="359"/>
      <c r="II32" s="359"/>
      <c r="IJ32" s="359"/>
      <c r="IK32" s="359"/>
      <c r="IL32" s="359"/>
      <c r="IM32" s="359"/>
      <c r="IN32" s="359"/>
      <c r="IO32" s="359"/>
      <c r="IP32" s="359"/>
      <c r="IQ32" s="359"/>
      <c r="IR32" s="359"/>
      <c r="IS32" s="359"/>
      <c r="IT32" s="359"/>
      <c r="IU32" s="359"/>
      <c r="IV32" s="359"/>
    </row>
    <row r="33" spans="1:256" customFormat="1">
      <c r="A33" s="359"/>
      <c r="B33" s="360"/>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c r="BD33" s="359"/>
      <c r="BE33" s="359"/>
      <c r="BF33" s="359"/>
      <c r="BG33" s="359"/>
      <c r="BH33" s="359"/>
      <c r="BI33" s="359"/>
      <c r="BJ33" s="359"/>
      <c r="BK33" s="359"/>
      <c r="BL33" s="359"/>
      <c r="BM33" s="359"/>
      <c r="BN33" s="359"/>
      <c r="BO33" s="359"/>
      <c r="BP33" s="359"/>
      <c r="BQ33" s="359"/>
      <c r="BR33" s="359"/>
      <c r="BS33" s="359"/>
      <c r="BT33" s="359"/>
      <c r="BU33" s="359"/>
      <c r="BV33" s="359"/>
      <c r="BW33" s="359"/>
      <c r="BX33" s="359"/>
      <c r="BY33" s="359"/>
      <c r="BZ33" s="359"/>
      <c r="CA33" s="359"/>
      <c r="CB33" s="359"/>
      <c r="CC33" s="359"/>
      <c r="CD33" s="359"/>
      <c r="CE33" s="359"/>
      <c r="CF33" s="359"/>
      <c r="CG33" s="359"/>
      <c r="CH33" s="359"/>
      <c r="CI33" s="359"/>
      <c r="CJ33" s="359"/>
      <c r="CK33" s="359"/>
      <c r="CL33" s="359"/>
      <c r="CM33" s="359"/>
      <c r="CN33" s="359"/>
      <c r="CO33" s="359"/>
      <c r="CP33" s="359"/>
      <c r="CQ33" s="359"/>
      <c r="CR33" s="359"/>
      <c r="CS33" s="359"/>
      <c r="CT33" s="359"/>
      <c r="CU33" s="359"/>
      <c r="CV33" s="359"/>
      <c r="CW33" s="359"/>
      <c r="CX33" s="359"/>
      <c r="CY33" s="359"/>
      <c r="CZ33" s="359"/>
      <c r="DA33" s="359"/>
      <c r="DB33" s="359"/>
      <c r="DC33" s="359"/>
      <c r="DD33" s="359"/>
      <c r="DE33" s="359"/>
      <c r="DF33" s="359"/>
      <c r="DG33" s="359"/>
      <c r="DH33" s="359"/>
      <c r="DI33" s="359"/>
      <c r="DJ33" s="359"/>
      <c r="DK33" s="359"/>
      <c r="DL33" s="359"/>
      <c r="DM33" s="359"/>
      <c r="DN33" s="359"/>
      <c r="DO33" s="359"/>
      <c r="DP33" s="359"/>
      <c r="DQ33" s="359"/>
      <c r="DR33" s="359"/>
      <c r="DS33" s="359"/>
      <c r="DT33" s="359"/>
      <c r="DU33" s="359"/>
      <c r="DV33" s="359"/>
      <c r="DW33" s="359"/>
      <c r="DX33" s="359"/>
      <c r="DY33" s="359"/>
      <c r="DZ33" s="359"/>
      <c r="EA33" s="359"/>
      <c r="EB33" s="359"/>
      <c r="EC33" s="359"/>
      <c r="ED33" s="359"/>
      <c r="EE33" s="359"/>
      <c r="EF33" s="359"/>
      <c r="EG33" s="359"/>
      <c r="EH33" s="359"/>
      <c r="EI33" s="359"/>
      <c r="EJ33" s="359"/>
      <c r="EK33" s="359"/>
      <c r="EL33" s="359"/>
      <c r="EM33" s="359"/>
      <c r="EN33" s="359"/>
      <c r="EO33" s="359"/>
      <c r="EP33" s="359"/>
      <c r="EQ33" s="359"/>
      <c r="ER33" s="359"/>
      <c r="ES33" s="359"/>
      <c r="ET33" s="359"/>
      <c r="EU33" s="359"/>
      <c r="EV33" s="359"/>
      <c r="EW33" s="359"/>
      <c r="EX33" s="359"/>
      <c r="EY33" s="359"/>
      <c r="EZ33" s="359"/>
      <c r="FA33" s="359"/>
      <c r="FB33" s="359"/>
      <c r="FC33" s="359"/>
      <c r="FD33" s="359"/>
      <c r="FE33" s="359"/>
      <c r="FF33" s="359"/>
      <c r="FG33" s="359"/>
      <c r="FH33" s="359"/>
      <c r="FI33" s="359"/>
      <c r="FJ33" s="359"/>
      <c r="FK33" s="359"/>
      <c r="FL33" s="359"/>
      <c r="FM33" s="359"/>
      <c r="FN33" s="359"/>
      <c r="FO33" s="359"/>
      <c r="FP33" s="359"/>
      <c r="FQ33" s="359"/>
      <c r="FR33" s="359"/>
      <c r="FS33" s="359"/>
      <c r="FT33" s="359"/>
      <c r="FU33" s="359"/>
      <c r="FV33" s="359"/>
      <c r="FW33" s="359"/>
      <c r="FX33" s="359"/>
      <c r="FY33" s="359"/>
      <c r="FZ33" s="359"/>
      <c r="GA33" s="359"/>
      <c r="GB33" s="359"/>
      <c r="GC33" s="359"/>
      <c r="GD33" s="359"/>
      <c r="GE33" s="359"/>
      <c r="GF33" s="359"/>
      <c r="GG33" s="359"/>
      <c r="GH33" s="359"/>
      <c r="GI33" s="359"/>
      <c r="GJ33" s="359"/>
      <c r="GK33" s="359"/>
      <c r="GL33" s="359"/>
      <c r="GM33" s="359"/>
      <c r="GN33" s="359"/>
      <c r="GO33" s="359"/>
      <c r="GP33" s="359"/>
      <c r="GQ33" s="359"/>
      <c r="GR33" s="359"/>
      <c r="GS33" s="359"/>
      <c r="GT33" s="359"/>
      <c r="GU33" s="359"/>
      <c r="GV33" s="359"/>
      <c r="GW33" s="359"/>
      <c r="GX33" s="359"/>
      <c r="GY33" s="359"/>
      <c r="GZ33" s="359"/>
      <c r="HA33" s="359"/>
      <c r="HB33" s="359"/>
      <c r="HC33" s="359"/>
      <c r="HD33" s="359"/>
      <c r="HE33" s="359"/>
      <c r="HF33" s="359"/>
      <c r="HG33" s="359"/>
      <c r="HH33" s="359"/>
      <c r="HI33" s="359"/>
      <c r="HJ33" s="359"/>
      <c r="HK33" s="359"/>
      <c r="HL33" s="359"/>
      <c r="HM33" s="359"/>
      <c r="HN33" s="359"/>
      <c r="HO33" s="359"/>
      <c r="HP33" s="359"/>
      <c r="HQ33" s="359"/>
      <c r="HR33" s="359"/>
      <c r="HS33" s="359"/>
      <c r="HT33" s="359"/>
      <c r="HU33" s="359"/>
      <c r="HV33" s="359"/>
      <c r="HW33" s="359"/>
      <c r="HX33" s="359"/>
      <c r="HY33" s="359"/>
      <c r="HZ33" s="359"/>
      <c r="IA33" s="359"/>
      <c r="IB33" s="359"/>
      <c r="IC33" s="359"/>
      <c r="ID33" s="359"/>
      <c r="IE33" s="359"/>
      <c r="IF33" s="359"/>
      <c r="IG33" s="359"/>
      <c r="IH33" s="359"/>
      <c r="II33" s="359"/>
      <c r="IJ33" s="359"/>
      <c r="IK33" s="359"/>
      <c r="IL33" s="359"/>
      <c r="IM33" s="359"/>
      <c r="IN33" s="359"/>
      <c r="IO33" s="359"/>
      <c r="IP33" s="359"/>
      <c r="IQ33" s="359"/>
      <c r="IR33" s="359"/>
      <c r="IS33" s="359"/>
      <c r="IT33" s="359"/>
      <c r="IU33" s="359"/>
      <c r="IV33" s="359"/>
    </row>
    <row r="34" spans="1:256" customFormat="1">
      <c r="A34" s="359"/>
      <c r="B34" s="360"/>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59"/>
      <c r="AP34" s="359"/>
      <c r="AQ34" s="359"/>
      <c r="AR34" s="359"/>
      <c r="AS34" s="359"/>
      <c r="AT34" s="359"/>
      <c r="AU34" s="359"/>
      <c r="AV34" s="359"/>
      <c r="AW34" s="359"/>
      <c r="AX34" s="359"/>
      <c r="AY34" s="359"/>
      <c r="AZ34" s="359"/>
      <c r="BA34" s="359"/>
      <c r="BB34" s="359"/>
      <c r="BC34" s="359"/>
      <c r="BD34" s="359"/>
      <c r="BE34" s="359"/>
      <c r="BF34" s="359"/>
      <c r="BG34" s="359"/>
      <c r="BH34" s="359"/>
      <c r="BI34" s="359"/>
      <c r="BJ34" s="359"/>
      <c r="BK34" s="359"/>
      <c r="BL34" s="359"/>
      <c r="BM34" s="359"/>
      <c r="BN34" s="359"/>
      <c r="BO34" s="359"/>
      <c r="BP34" s="359"/>
      <c r="BQ34" s="359"/>
      <c r="BR34" s="359"/>
      <c r="BS34" s="359"/>
      <c r="BT34" s="359"/>
      <c r="BU34" s="359"/>
      <c r="BV34" s="359"/>
      <c r="BW34" s="359"/>
      <c r="BX34" s="359"/>
      <c r="BY34" s="359"/>
      <c r="BZ34" s="359"/>
      <c r="CA34" s="359"/>
      <c r="CB34" s="359"/>
      <c r="CC34" s="359"/>
      <c r="CD34" s="359"/>
      <c r="CE34" s="359"/>
      <c r="CF34" s="359"/>
      <c r="CG34" s="359"/>
      <c r="CH34" s="359"/>
      <c r="CI34" s="359"/>
      <c r="CJ34" s="359"/>
      <c r="CK34" s="359"/>
      <c r="CL34" s="359"/>
      <c r="CM34" s="359"/>
      <c r="CN34" s="359"/>
      <c r="CO34" s="359"/>
      <c r="CP34" s="359"/>
      <c r="CQ34" s="359"/>
      <c r="CR34" s="359"/>
      <c r="CS34" s="359"/>
      <c r="CT34" s="359"/>
      <c r="CU34" s="359"/>
      <c r="CV34" s="359"/>
      <c r="CW34" s="359"/>
      <c r="CX34" s="359"/>
      <c r="CY34" s="359"/>
      <c r="CZ34" s="359"/>
      <c r="DA34" s="359"/>
      <c r="DB34" s="359"/>
      <c r="DC34" s="359"/>
      <c r="DD34" s="359"/>
      <c r="DE34" s="359"/>
      <c r="DF34" s="359"/>
      <c r="DG34" s="359"/>
      <c r="DH34" s="359"/>
      <c r="DI34" s="359"/>
      <c r="DJ34" s="359"/>
      <c r="DK34" s="359"/>
      <c r="DL34" s="359"/>
      <c r="DM34" s="359"/>
      <c r="DN34" s="359"/>
      <c r="DO34" s="359"/>
      <c r="DP34" s="359"/>
      <c r="DQ34" s="359"/>
      <c r="DR34" s="359"/>
      <c r="DS34" s="359"/>
      <c r="DT34" s="359"/>
      <c r="DU34" s="359"/>
      <c r="DV34" s="359"/>
      <c r="DW34" s="359"/>
      <c r="DX34" s="359"/>
      <c r="DY34" s="359"/>
      <c r="DZ34" s="359"/>
      <c r="EA34" s="359"/>
      <c r="EB34" s="359"/>
      <c r="EC34" s="359"/>
      <c r="ED34" s="359"/>
      <c r="EE34" s="359"/>
      <c r="EF34" s="359"/>
      <c r="EG34" s="359"/>
      <c r="EH34" s="359"/>
      <c r="EI34" s="359"/>
      <c r="EJ34" s="359"/>
      <c r="EK34" s="359"/>
      <c r="EL34" s="359"/>
      <c r="EM34" s="359"/>
      <c r="EN34" s="359"/>
      <c r="EO34" s="359"/>
      <c r="EP34" s="359"/>
      <c r="EQ34" s="359"/>
      <c r="ER34" s="359"/>
      <c r="ES34" s="359"/>
      <c r="ET34" s="359"/>
      <c r="EU34" s="359"/>
      <c r="EV34" s="359"/>
      <c r="EW34" s="359"/>
      <c r="EX34" s="359"/>
      <c r="EY34" s="359"/>
      <c r="EZ34" s="359"/>
      <c r="FA34" s="359"/>
      <c r="FB34" s="359"/>
      <c r="FC34" s="359"/>
      <c r="FD34" s="359"/>
      <c r="FE34" s="359"/>
      <c r="FF34" s="359"/>
      <c r="FG34" s="359"/>
      <c r="FH34" s="359"/>
      <c r="FI34" s="359"/>
      <c r="FJ34" s="359"/>
      <c r="FK34" s="359"/>
      <c r="FL34" s="359"/>
      <c r="FM34" s="359"/>
      <c r="FN34" s="359"/>
      <c r="FO34" s="359"/>
      <c r="FP34" s="359"/>
      <c r="FQ34" s="359"/>
      <c r="FR34" s="359"/>
      <c r="FS34" s="359"/>
      <c r="FT34" s="359"/>
      <c r="FU34" s="359"/>
      <c r="FV34" s="359"/>
      <c r="FW34" s="359"/>
      <c r="FX34" s="359"/>
      <c r="FY34" s="359"/>
      <c r="FZ34" s="359"/>
      <c r="GA34" s="359"/>
      <c r="GB34" s="359"/>
      <c r="GC34" s="359"/>
      <c r="GD34" s="359"/>
      <c r="GE34" s="359"/>
      <c r="GF34" s="359"/>
      <c r="GG34" s="359"/>
      <c r="GH34" s="359"/>
      <c r="GI34" s="359"/>
      <c r="GJ34" s="359"/>
      <c r="GK34" s="359"/>
      <c r="GL34" s="359"/>
      <c r="GM34" s="359"/>
      <c r="GN34" s="359"/>
      <c r="GO34" s="359"/>
      <c r="GP34" s="359"/>
      <c r="GQ34" s="359"/>
      <c r="GR34" s="359"/>
      <c r="GS34" s="359"/>
      <c r="GT34" s="359"/>
      <c r="GU34" s="359"/>
      <c r="GV34" s="359"/>
      <c r="GW34" s="359"/>
      <c r="GX34" s="359"/>
      <c r="GY34" s="359"/>
      <c r="GZ34" s="359"/>
      <c r="HA34" s="359"/>
      <c r="HB34" s="359"/>
      <c r="HC34" s="359"/>
      <c r="HD34" s="359"/>
      <c r="HE34" s="359"/>
      <c r="HF34" s="359"/>
      <c r="HG34" s="359"/>
      <c r="HH34" s="359"/>
      <c r="HI34" s="359"/>
      <c r="HJ34" s="359"/>
      <c r="HK34" s="359"/>
      <c r="HL34" s="359"/>
      <c r="HM34" s="359"/>
      <c r="HN34" s="359"/>
      <c r="HO34" s="359"/>
      <c r="HP34" s="359"/>
      <c r="HQ34" s="359"/>
      <c r="HR34" s="359"/>
      <c r="HS34" s="359"/>
      <c r="HT34" s="359"/>
      <c r="HU34" s="359"/>
      <c r="HV34" s="359"/>
      <c r="HW34" s="359"/>
      <c r="HX34" s="359"/>
      <c r="HY34" s="359"/>
      <c r="HZ34" s="359"/>
      <c r="IA34" s="359"/>
      <c r="IB34" s="359"/>
      <c r="IC34" s="359"/>
      <c r="ID34" s="359"/>
      <c r="IE34" s="359"/>
      <c r="IF34" s="359"/>
      <c r="IG34" s="359"/>
      <c r="IH34" s="359"/>
      <c r="II34" s="359"/>
      <c r="IJ34" s="359"/>
      <c r="IK34" s="359"/>
      <c r="IL34" s="359"/>
      <c r="IM34" s="359"/>
      <c r="IN34" s="359"/>
      <c r="IO34" s="359"/>
      <c r="IP34" s="359"/>
      <c r="IQ34" s="359"/>
      <c r="IR34" s="359"/>
      <c r="IS34" s="359"/>
      <c r="IT34" s="359"/>
      <c r="IU34" s="359"/>
      <c r="IV34" s="359"/>
    </row>
    <row r="35" spans="1:256" customFormat="1">
      <c r="A35" s="359"/>
      <c r="B35" s="360"/>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c r="AN35" s="359"/>
      <c r="AO35" s="359"/>
      <c r="AP35" s="359"/>
      <c r="AQ35" s="359"/>
      <c r="AR35" s="359"/>
      <c r="AS35" s="359"/>
      <c r="AT35" s="359"/>
      <c r="AU35" s="359"/>
      <c r="AV35" s="359"/>
      <c r="AW35" s="359"/>
      <c r="AX35" s="359"/>
      <c r="AY35" s="359"/>
      <c r="AZ35" s="359"/>
      <c r="BA35" s="359"/>
      <c r="BB35" s="359"/>
      <c r="BC35" s="359"/>
      <c r="BD35" s="359"/>
      <c r="BE35" s="359"/>
      <c r="BF35" s="359"/>
      <c r="BG35" s="359"/>
      <c r="BH35" s="359"/>
      <c r="BI35" s="359"/>
      <c r="BJ35" s="359"/>
      <c r="BK35" s="359"/>
      <c r="BL35" s="359"/>
      <c r="BM35" s="359"/>
      <c r="BN35" s="359"/>
      <c r="BO35" s="359"/>
      <c r="BP35" s="359"/>
      <c r="BQ35" s="359"/>
      <c r="BR35" s="359"/>
      <c r="BS35" s="359"/>
      <c r="BT35" s="359"/>
      <c r="BU35" s="359"/>
      <c r="BV35" s="359"/>
      <c r="BW35" s="359"/>
      <c r="BX35" s="359"/>
      <c r="BY35" s="359"/>
      <c r="BZ35" s="359"/>
      <c r="CA35" s="359"/>
      <c r="CB35" s="359"/>
      <c r="CC35" s="359"/>
      <c r="CD35" s="359"/>
      <c r="CE35" s="359"/>
      <c r="CF35" s="359"/>
      <c r="CG35" s="359"/>
      <c r="CH35" s="359"/>
      <c r="CI35" s="359"/>
      <c r="CJ35" s="359"/>
      <c r="CK35" s="359"/>
      <c r="CL35" s="359"/>
      <c r="CM35" s="359"/>
      <c r="CN35" s="359"/>
      <c r="CO35" s="359"/>
      <c r="CP35" s="359"/>
      <c r="CQ35" s="359"/>
      <c r="CR35" s="359"/>
      <c r="CS35" s="359"/>
      <c r="CT35" s="359"/>
      <c r="CU35" s="359"/>
      <c r="CV35" s="359"/>
      <c r="CW35" s="359"/>
      <c r="CX35" s="359"/>
      <c r="CY35" s="359"/>
      <c r="CZ35" s="359"/>
      <c r="DA35" s="359"/>
      <c r="DB35" s="359"/>
      <c r="DC35" s="359"/>
      <c r="DD35" s="359"/>
      <c r="DE35" s="359"/>
      <c r="DF35" s="359"/>
      <c r="DG35" s="359"/>
      <c r="DH35" s="359"/>
      <c r="DI35" s="359"/>
      <c r="DJ35" s="359"/>
      <c r="DK35" s="359"/>
      <c r="DL35" s="359"/>
      <c r="DM35" s="359"/>
      <c r="DN35" s="359"/>
      <c r="DO35" s="359"/>
      <c r="DP35" s="359"/>
      <c r="DQ35" s="359"/>
      <c r="DR35" s="359"/>
      <c r="DS35" s="359"/>
      <c r="DT35" s="359"/>
      <c r="DU35" s="359"/>
      <c r="DV35" s="359"/>
      <c r="DW35" s="359"/>
      <c r="DX35" s="359"/>
      <c r="DY35" s="359"/>
      <c r="DZ35" s="359"/>
      <c r="EA35" s="359"/>
      <c r="EB35" s="359"/>
      <c r="EC35" s="359"/>
      <c r="ED35" s="359"/>
      <c r="EE35" s="359"/>
      <c r="EF35" s="359"/>
      <c r="EG35" s="359"/>
      <c r="EH35" s="359"/>
      <c r="EI35" s="359"/>
      <c r="EJ35" s="359"/>
      <c r="EK35" s="359"/>
      <c r="EL35" s="359"/>
      <c r="EM35" s="359"/>
      <c r="EN35" s="359"/>
      <c r="EO35" s="359"/>
      <c r="EP35" s="359"/>
      <c r="EQ35" s="359"/>
      <c r="ER35" s="359"/>
      <c r="ES35" s="359"/>
      <c r="ET35" s="359"/>
      <c r="EU35" s="359"/>
      <c r="EV35" s="359"/>
      <c r="EW35" s="359"/>
      <c r="EX35" s="359"/>
      <c r="EY35" s="359"/>
      <c r="EZ35" s="359"/>
      <c r="FA35" s="359"/>
      <c r="FB35" s="359"/>
      <c r="FC35" s="359"/>
      <c r="FD35" s="359"/>
      <c r="FE35" s="359"/>
      <c r="FF35" s="359"/>
      <c r="FG35" s="359"/>
      <c r="FH35" s="359"/>
      <c r="FI35" s="359"/>
      <c r="FJ35" s="359"/>
      <c r="FK35" s="359"/>
      <c r="FL35" s="359"/>
      <c r="FM35" s="359"/>
      <c r="FN35" s="359"/>
      <c r="FO35" s="359"/>
      <c r="FP35" s="359"/>
      <c r="FQ35" s="359"/>
      <c r="FR35" s="359"/>
      <c r="FS35" s="359"/>
      <c r="FT35" s="359"/>
      <c r="FU35" s="359"/>
      <c r="FV35" s="359"/>
      <c r="FW35" s="359"/>
      <c r="FX35" s="359"/>
      <c r="FY35" s="359"/>
      <c r="FZ35" s="359"/>
      <c r="GA35" s="359"/>
      <c r="GB35" s="359"/>
      <c r="GC35" s="359"/>
      <c r="GD35" s="359"/>
      <c r="GE35" s="359"/>
      <c r="GF35" s="359"/>
      <c r="GG35" s="359"/>
      <c r="GH35" s="359"/>
      <c r="GI35" s="359"/>
      <c r="GJ35" s="359"/>
      <c r="GK35" s="359"/>
      <c r="GL35" s="359"/>
      <c r="GM35" s="359"/>
      <c r="GN35" s="359"/>
      <c r="GO35" s="359"/>
      <c r="GP35" s="359"/>
      <c r="GQ35" s="359"/>
      <c r="GR35" s="359"/>
      <c r="GS35" s="359"/>
      <c r="GT35" s="359"/>
      <c r="GU35" s="359"/>
      <c r="GV35" s="359"/>
      <c r="GW35" s="359"/>
      <c r="GX35" s="359"/>
      <c r="GY35" s="359"/>
      <c r="GZ35" s="359"/>
      <c r="HA35" s="359"/>
      <c r="HB35" s="359"/>
      <c r="HC35" s="359"/>
      <c r="HD35" s="359"/>
      <c r="HE35" s="359"/>
      <c r="HF35" s="359"/>
      <c r="HG35" s="359"/>
      <c r="HH35" s="359"/>
      <c r="HI35" s="359"/>
      <c r="HJ35" s="359"/>
      <c r="HK35" s="359"/>
      <c r="HL35" s="359"/>
      <c r="HM35" s="359"/>
      <c r="HN35" s="359"/>
      <c r="HO35" s="359"/>
      <c r="HP35" s="359"/>
      <c r="HQ35" s="359"/>
      <c r="HR35" s="359"/>
      <c r="HS35" s="359"/>
      <c r="HT35" s="359"/>
      <c r="HU35" s="359"/>
      <c r="HV35" s="359"/>
      <c r="HW35" s="359"/>
      <c r="HX35" s="359"/>
      <c r="HY35" s="359"/>
      <c r="HZ35" s="359"/>
      <c r="IA35" s="359"/>
      <c r="IB35" s="359"/>
      <c r="IC35" s="359"/>
      <c r="ID35" s="359"/>
      <c r="IE35" s="359"/>
      <c r="IF35" s="359"/>
      <c r="IG35" s="359"/>
      <c r="IH35" s="359"/>
      <c r="II35" s="359"/>
      <c r="IJ35" s="359"/>
      <c r="IK35" s="359"/>
      <c r="IL35" s="359"/>
      <c r="IM35" s="359"/>
      <c r="IN35" s="359"/>
      <c r="IO35" s="359"/>
      <c r="IP35" s="359"/>
      <c r="IQ35" s="359"/>
      <c r="IR35" s="359"/>
      <c r="IS35" s="359"/>
      <c r="IT35" s="359"/>
      <c r="IU35" s="359"/>
      <c r="IV35" s="359"/>
    </row>
    <row r="36" spans="1:256" customFormat="1">
      <c r="A36" s="359"/>
      <c r="B36" s="360"/>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59"/>
      <c r="AZ36" s="359"/>
      <c r="BA36" s="359"/>
      <c r="BB36" s="359"/>
      <c r="BC36" s="359"/>
      <c r="BD36" s="359"/>
      <c r="BE36" s="359"/>
      <c r="BF36" s="359"/>
      <c r="BG36" s="359"/>
      <c r="BH36" s="359"/>
      <c r="BI36" s="359"/>
      <c r="BJ36" s="359"/>
      <c r="BK36" s="359"/>
      <c r="BL36" s="359"/>
      <c r="BM36" s="359"/>
      <c r="BN36" s="359"/>
      <c r="BO36" s="359"/>
      <c r="BP36" s="359"/>
      <c r="BQ36" s="359"/>
      <c r="BR36" s="359"/>
      <c r="BS36" s="359"/>
      <c r="BT36" s="359"/>
      <c r="BU36" s="359"/>
      <c r="BV36" s="359"/>
      <c r="BW36" s="359"/>
      <c r="BX36" s="359"/>
      <c r="BY36" s="359"/>
      <c r="BZ36" s="359"/>
      <c r="CA36" s="359"/>
      <c r="CB36" s="359"/>
      <c r="CC36" s="359"/>
      <c r="CD36" s="359"/>
      <c r="CE36" s="359"/>
      <c r="CF36" s="359"/>
      <c r="CG36" s="359"/>
      <c r="CH36" s="359"/>
      <c r="CI36" s="359"/>
      <c r="CJ36" s="359"/>
      <c r="CK36" s="359"/>
      <c r="CL36" s="359"/>
      <c r="CM36" s="359"/>
      <c r="CN36" s="359"/>
      <c r="CO36" s="359"/>
      <c r="CP36" s="359"/>
      <c r="CQ36" s="359"/>
      <c r="CR36" s="359"/>
      <c r="CS36" s="359"/>
      <c r="CT36" s="359"/>
      <c r="CU36" s="359"/>
      <c r="CV36" s="359"/>
      <c r="CW36" s="359"/>
      <c r="CX36" s="359"/>
      <c r="CY36" s="359"/>
      <c r="CZ36" s="359"/>
      <c r="DA36" s="359"/>
      <c r="DB36" s="359"/>
      <c r="DC36" s="359"/>
      <c r="DD36" s="359"/>
      <c r="DE36" s="359"/>
      <c r="DF36" s="359"/>
      <c r="DG36" s="359"/>
      <c r="DH36" s="359"/>
      <c r="DI36" s="359"/>
      <c r="DJ36" s="359"/>
      <c r="DK36" s="359"/>
      <c r="DL36" s="359"/>
      <c r="DM36" s="359"/>
      <c r="DN36" s="359"/>
      <c r="DO36" s="359"/>
      <c r="DP36" s="359"/>
      <c r="DQ36" s="359"/>
      <c r="DR36" s="359"/>
      <c r="DS36" s="359"/>
      <c r="DT36" s="359"/>
      <c r="DU36" s="359"/>
      <c r="DV36" s="359"/>
      <c r="DW36" s="359"/>
      <c r="DX36" s="359"/>
      <c r="DY36" s="359"/>
      <c r="DZ36" s="359"/>
      <c r="EA36" s="359"/>
      <c r="EB36" s="359"/>
      <c r="EC36" s="359"/>
      <c r="ED36" s="359"/>
      <c r="EE36" s="359"/>
      <c r="EF36" s="359"/>
      <c r="EG36" s="359"/>
      <c r="EH36" s="359"/>
      <c r="EI36" s="359"/>
      <c r="EJ36" s="359"/>
      <c r="EK36" s="359"/>
      <c r="EL36" s="359"/>
      <c r="EM36" s="359"/>
      <c r="EN36" s="359"/>
      <c r="EO36" s="359"/>
      <c r="EP36" s="359"/>
      <c r="EQ36" s="359"/>
      <c r="ER36" s="359"/>
      <c r="ES36" s="359"/>
      <c r="ET36" s="359"/>
      <c r="EU36" s="359"/>
      <c r="EV36" s="359"/>
      <c r="EW36" s="359"/>
      <c r="EX36" s="359"/>
      <c r="EY36" s="359"/>
      <c r="EZ36" s="359"/>
      <c r="FA36" s="359"/>
      <c r="FB36" s="359"/>
      <c r="FC36" s="359"/>
      <c r="FD36" s="359"/>
      <c r="FE36" s="359"/>
      <c r="FF36" s="359"/>
      <c r="FG36" s="359"/>
      <c r="FH36" s="359"/>
      <c r="FI36" s="359"/>
      <c r="FJ36" s="359"/>
      <c r="FK36" s="359"/>
      <c r="FL36" s="359"/>
      <c r="FM36" s="359"/>
      <c r="FN36" s="359"/>
      <c r="FO36" s="359"/>
      <c r="FP36" s="359"/>
      <c r="FQ36" s="359"/>
      <c r="FR36" s="359"/>
      <c r="FS36" s="359"/>
      <c r="FT36" s="359"/>
      <c r="FU36" s="359"/>
      <c r="FV36" s="359"/>
      <c r="FW36" s="359"/>
      <c r="FX36" s="359"/>
      <c r="FY36" s="359"/>
      <c r="FZ36" s="359"/>
      <c r="GA36" s="359"/>
      <c r="GB36" s="359"/>
      <c r="GC36" s="359"/>
      <c r="GD36" s="359"/>
      <c r="GE36" s="359"/>
      <c r="GF36" s="359"/>
      <c r="GG36" s="359"/>
      <c r="GH36" s="359"/>
      <c r="GI36" s="359"/>
      <c r="GJ36" s="359"/>
      <c r="GK36" s="359"/>
      <c r="GL36" s="359"/>
      <c r="GM36" s="359"/>
      <c r="GN36" s="359"/>
      <c r="GO36" s="359"/>
      <c r="GP36" s="359"/>
      <c r="GQ36" s="359"/>
      <c r="GR36" s="359"/>
      <c r="GS36" s="359"/>
      <c r="GT36" s="359"/>
      <c r="GU36" s="359"/>
      <c r="GV36" s="359"/>
      <c r="GW36" s="359"/>
      <c r="GX36" s="359"/>
      <c r="GY36" s="359"/>
      <c r="GZ36" s="359"/>
      <c r="HA36" s="359"/>
      <c r="HB36" s="359"/>
      <c r="HC36" s="359"/>
      <c r="HD36" s="359"/>
      <c r="HE36" s="359"/>
      <c r="HF36" s="359"/>
      <c r="HG36" s="359"/>
      <c r="HH36" s="359"/>
      <c r="HI36" s="359"/>
      <c r="HJ36" s="359"/>
      <c r="HK36" s="359"/>
      <c r="HL36" s="359"/>
      <c r="HM36" s="359"/>
      <c r="HN36" s="359"/>
      <c r="HO36" s="359"/>
      <c r="HP36" s="359"/>
      <c r="HQ36" s="359"/>
      <c r="HR36" s="359"/>
      <c r="HS36" s="359"/>
      <c r="HT36" s="359"/>
      <c r="HU36" s="359"/>
      <c r="HV36" s="359"/>
      <c r="HW36" s="359"/>
      <c r="HX36" s="359"/>
      <c r="HY36" s="359"/>
      <c r="HZ36" s="359"/>
      <c r="IA36" s="359"/>
      <c r="IB36" s="359"/>
      <c r="IC36" s="359"/>
      <c r="ID36" s="359"/>
      <c r="IE36" s="359"/>
      <c r="IF36" s="359"/>
      <c r="IG36" s="359"/>
      <c r="IH36" s="359"/>
      <c r="II36" s="359"/>
      <c r="IJ36" s="359"/>
      <c r="IK36" s="359"/>
      <c r="IL36" s="359"/>
      <c r="IM36" s="359"/>
      <c r="IN36" s="359"/>
      <c r="IO36" s="359"/>
      <c r="IP36" s="359"/>
      <c r="IQ36" s="359"/>
      <c r="IR36" s="359"/>
      <c r="IS36" s="359"/>
      <c r="IT36" s="359"/>
      <c r="IU36" s="359"/>
      <c r="IV36" s="359"/>
    </row>
    <row r="37" spans="1:256" customFormat="1">
      <c r="A37" s="359"/>
      <c r="B37" s="360"/>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c r="AN37" s="359"/>
      <c r="AO37" s="359"/>
      <c r="AP37" s="359"/>
      <c r="AQ37" s="359"/>
      <c r="AR37" s="359"/>
      <c r="AS37" s="359"/>
      <c r="AT37" s="359"/>
      <c r="AU37" s="359"/>
      <c r="AV37" s="359"/>
      <c r="AW37" s="359"/>
      <c r="AX37" s="359"/>
      <c r="AY37" s="359"/>
      <c r="AZ37" s="359"/>
      <c r="BA37" s="359"/>
      <c r="BB37" s="359"/>
      <c r="BC37" s="359"/>
      <c r="BD37" s="359"/>
      <c r="BE37" s="359"/>
      <c r="BF37" s="359"/>
      <c r="BG37" s="359"/>
      <c r="BH37" s="359"/>
      <c r="BI37" s="359"/>
      <c r="BJ37" s="359"/>
      <c r="BK37" s="359"/>
      <c r="BL37" s="359"/>
      <c r="BM37" s="359"/>
      <c r="BN37" s="359"/>
      <c r="BO37" s="359"/>
      <c r="BP37" s="359"/>
      <c r="BQ37" s="359"/>
      <c r="BR37" s="359"/>
      <c r="BS37" s="359"/>
      <c r="BT37" s="359"/>
      <c r="BU37" s="359"/>
      <c r="BV37" s="359"/>
      <c r="BW37" s="359"/>
      <c r="BX37" s="359"/>
      <c r="BY37" s="359"/>
      <c r="BZ37" s="359"/>
      <c r="CA37" s="359"/>
      <c r="CB37" s="359"/>
      <c r="CC37" s="359"/>
      <c r="CD37" s="359"/>
      <c r="CE37" s="359"/>
      <c r="CF37" s="359"/>
      <c r="CG37" s="359"/>
      <c r="CH37" s="359"/>
      <c r="CI37" s="359"/>
      <c r="CJ37" s="359"/>
      <c r="CK37" s="359"/>
      <c r="CL37" s="359"/>
      <c r="CM37" s="359"/>
      <c r="CN37" s="359"/>
      <c r="CO37" s="359"/>
      <c r="CP37" s="359"/>
      <c r="CQ37" s="359"/>
      <c r="CR37" s="359"/>
      <c r="CS37" s="359"/>
      <c r="CT37" s="359"/>
      <c r="CU37" s="359"/>
      <c r="CV37" s="359"/>
      <c r="CW37" s="359"/>
      <c r="CX37" s="359"/>
      <c r="CY37" s="359"/>
      <c r="CZ37" s="359"/>
      <c r="DA37" s="359"/>
      <c r="DB37" s="359"/>
      <c r="DC37" s="359"/>
      <c r="DD37" s="359"/>
      <c r="DE37" s="359"/>
      <c r="DF37" s="359"/>
      <c r="DG37" s="359"/>
      <c r="DH37" s="359"/>
      <c r="DI37" s="359"/>
      <c r="DJ37" s="359"/>
      <c r="DK37" s="359"/>
      <c r="DL37" s="359"/>
      <c r="DM37" s="359"/>
      <c r="DN37" s="359"/>
      <c r="DO37" s="359"/>
      <c r="DP37" s="359"/>
      <c r="DQ37" s="359"/>
      <c r="DR37" s="359"/>
      <c r="DS37" s="359"/>
      <c r="DT37" s="359"/>
      <c r="DU37" s="359"/>
      <c r="DV37" s="359"/>
      <c r="DW37" s="359"/>
      <c r="DX37" s="359"/>
      <c r="DY37" s="359"/>
      <c r="DZ37" s="359"/>
      <c r="EA37" s="359"/>
      <c r="EB37" s="359"/>
      <c r="EC37" s="359"/>
      <c r="ED37" s="359"/>
      <c r="EE37" s="359"/>
      <c r="EF37" s="359"/>
      <c r="EG37" s="359"/>
      <c r="EH37" s="359"/>
      <c r="EI37" s="359"/>
      <c r="EJ37" s="359"/>
      <c r="EK37" s="359"/>
      <c r="EL37" s="359"/>
      <c r="EM37" s="359"/>
      <c r="EN37" s="359"/>
      <c r="EO37" s="359"/>
      <c r="EP37" s="359"/>
      <c r="EQ37" s="359"/>
      <c r="ER37" s="359"/>
      <c r="ES37" s="359"/>
      <c r="ET37" s="359"/>
      <c r="EU37" s="359"/>
      <c r="EV37" s="359"/>
      <c r="EW37" s="359"/>
      <c r="EX37" s="359"/>
      <c r="EY37" s="359"/>
      <c r="EZ37" s="359"/>
      <c r="FA37" s="359"/>
      <c r="FB37" s="359"/>
      <c r="FC37" s="359"/>
      <c r="FD37" s="359"/>
      <c r="FE37" s="359"/>
      <c r="FF37" s="359"/>
      <c r="FG37" s="359"/>
      <c r="FH37" s="359"/>
      <c r="FI37" s="359"/>
      <c r="FJ37" s="359"/>
      <c r="FK37" s="359"/>
      <c r="FL37" s="359"/>
      <c r="FM37" s="359"/>
      <c r="FN37" s="359"/>
      <c r="FO37" s="359"/>
      <c r="FP37" s="359"/>
      <c r="FQ37" s="359"/>
      <c r="FR37" s="359"/>
      <c r="FS37" s="359"/>
      <c r="FT37" s="359"/>
      <c r="FU37" s="359"/>
      <c r="FV37" s="359"/>
      <c r="FW37" s="359"/>
      <c r="FX37" s="359"/>
      <c r="FY37" s="359"/>
      <c r="FZ37" s="359"/>
      <c r="GA37" s="359"/>
      <c r="GB37" s="359"/>
      <c r="GC37" s="359"/>
      <c r="GD37" s="359"/>
      <c r="GE37" s="359"/>
      <c r="GF37" s="359"/>
      <c r="GG37" s="359"/>
      <c r="GH37" s="359"/>
      <c r="GI37" s="359"/>
      <c r="GJ37" s="359"/>
      <c r="GK37" s="359"/>
      <c r="GL37" s="359"/>
      <c r="GM37" s="359"/>
      <c r="GN37" s="359"/>
      <c r="GO37" s="359"/>
      <c r="GP37" s="359"/>
      <c r="GQ37" s="359"/>
      <c r="GR37" s="359"/>
      <c r="GS37" s="359"/>
      <c r="GT37" s="359"/>
      <c r="GU37" s="359"/>
      <c r="GV37" s="359"/>
      <c r="GW37" s="359"/>
      <c r="GX37" s="359"/>
      <c r="GY37" s="359"/>
      <c r="GZ37" s="359"/>
      <c r="HA37" s="359"/>
      <c r="HB37" s="359"/>
      <c r="HC37" s="359"/>
      <c r="HD37" s="359"/>
      <c r="HE37" s="359"/>
      <c r="HF37" s="359"/>
      <c r="HG37" s="359"/>
      <c r="HH37" s="359"/>
      <c r="HI37" s="359"/>
      <c r="HJ37" s="359"/>
      <c r="HK37" s="359"/>
      <c r="HL37" s="359"/>
      <c r="HM37" s="359"/>
      <c r="HN37" s="359"/>
      <c r="HO37" s="359"/>
      <c r="HP37" s="359"/>
      <c r="HQ37" s="359"/>
      <c r="HR37" s="359"/>
      <c r="HS37" s="359"/>
      <c r="HT37" s="359"/>
      <c r="HU37" s="359"/>
      <c r="HV37" s="359"/>
      <c r="HW37" s="359"/>
      <c r="HX37" s="359"/>
      <c r="HY37" s="359"/>
      <c r="HZ37" s="359"/>
      <c r="IA37" s="359"/>
      <c r="IB37" s="359"/>
      <c r="IC37" s="359"/>
      <c r="ID37" s="359"/>
      <c r="IE37" s="359"/>
      <c r="IF37" s="359"/>
      <c r="IG37" s="359"/>
      <c r="IH37" s="359"/>
      <c r="II37" s="359"/>
      <c r="IJ37" s="359"/>
      <c r="IK37" s="359"/>
      <c r="IL37" s="359"/>
      <c r="IM37" s="359"/>
      <c r="IN37" s="359"/>
      <c r="IO37" s="359"/>
      <c r="IP37" s="359"/>
      <c r="IQ37" s="359"/>
      <c r="IR37" s="359"/>
      <c r="IS37" s="359"/>
      <c r="IT37" s="359"/>
      <c r="IU37" s="359"/>
      <c r="IV37" s="359"/>
    </row>
    <row r="38" spans="1:256" customFormat="1">
      <c r="A38" s="376"/>
      <c r="B38" s="360"/>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59"/>
      <c r="BJ38" s="359"/>
      <c r="BK38" s="359"/>
      <c r="BL38" s="359"/>
      <c r="BM38" s="359"/>
      <c r="BN38" s="359"/>
      <c r="BO38" s="359"/>
      <c r="BP38" s="359"/>
      <c r="BQ38" s="359"/>
      <c r="BR38" s="359"/>
      <c r="BS38" s="359"/>
      <c r="BT38" s="359"/>
      <c r="BU38" s="359"/>
      <c r="BV38" s="359"/>
      <c r="BW38" s="359"/>
      <c r="BX38" s="359"/>
      <c r="BY38" s="359"/>
      <c r="BZ38" s="359"/>
      <c r="CA38" s="359"/>
      <c r="CB38" s="359"/>
      <c r="CC38" s="359"/>
      <c r="CD38" s="359"/>
      <c r="CE38" s="359"/>
      <c r="CF38" s="359"/>
      <c r="CG38" s="359"/>
      <c r="CH38" s="359"/>
      <c r="CI38" s="359"/>
      <c r="CJ38" s="359"/>
      <c r="CK38" s="359"/>
      <c r="CL38" s="359"/>
      <c r="CM38" s="359"/>
      <c r="CN38" s="359"/>
      <c r="CO38" s="359"/>
      <c r="CP38" s="359"/>
      <c r="CQ38" s="359"/>
      <c r="CR38" s="359"/>
      <c r="CS38" s="359"/>
      <c r="CT38" s="359"/>
      <c r="CU38" s="359"/>
      <c r="CV38" s="359"/>
      <c r="CW38" s="359"/>
      <c r="CX38" s="359"/>
      <c r="CY38" s="359"/>
      <c r="CZ38" s="359"/>
      <c r="DA38" s="359"/>
      <c r="DB38" s="359"/>
      <c r="DC38" s="359"/>
      <c r="DD38" s="359"/>
      <c r="DE38" s="359"/>
      <c r="DF38" s="359"/>
      <c r="DG38" s="359"/>
      <c r="DH38" s="359"/>
      <c r="DI38" s="359"/>
      <c r="DJ38" s="359"/>
      <c r="DK38" s="359"/>
      <c r="DL38" s="359"/>
      <c r="DM38" s="359"/>
      <c r="DN38" s="359"/>
      <c r="DO38" s="359"/>
      <c r="DP38" s="359"/>
      <c r="DQ38" s="359"/>
      <c r="DR38" s="359"/>
      <c r="DS38" s="359"/>
      <c r="DT38" s="359"/>
      <c r="DU38" s="359"/>
      <c r="DV38" s="359"/>
      <c r="DW38" s="359"/>
      <c r="DX38" s="359"/>
      <c r="DY38" s="359"/>
      <c r="DZ38" s="359"/>
      <c r="EA38" s="359"/>
      <c r="EB38" s="359"/>
      <c r="EC38" s="359"/>
      <c r="ED38" s="359"/>
      <c r="EE38" s="359"/>
      <c r="EF38" s="359"/>
      <c r="EG38" s="359"/>
      <c r="EH38" s="359"/>
      <c r="EI38" s="359"/>
      <c r="EJ38" s="359"/>
      <c r="EK38" s="359"/>
      <c r="EL38" s="359"/>
      <c r="EM38" s="359"/>
      <c r="EN38" s="359"/>
      <c r="EO38" s="359"/>
      <c r="EP38" s="359"/>
      <c r="EQ38" s="359"/>
      <c r="ER38" s="359"/>
      <c r="ES38" s="359"/>
      <c r="ET38" s="359"/>
      <c r="EU38" s="359"/>
      <c r="EV38" s="359"/>
      <c r="EW38" s="359"/>
      <c r="EX38" s="359"/>
      <c r="EY38" s="359"/>
      <c r="EZ38" s="359"/>
      <c r="FA38" s="359"/>
      <c r="FB38" s="359"/>
      <c r="FC38" s="359"/>
      <c r="FD38" s="359"/>
      <c r="FE38" s="359"/>
      <c r="FF38" s="359"/>
      <c r="FG38" s="359"/>
      <c r="FH38" s="359"/>
      <c r="FI38" s="359"/>
      <c r="FJ38" s="359"/>
      <c r="FK38" s="359"/>
      <c r="FL38" s="359"/>
      <c r="FM38" s="359"/>
      <c r="FN38" s="359"/>
      <c r="FO38" s="359"/>
      <c r="FP38" s="359"/>
      <c r="FQ38" s="359"/>
      <c r="FR38" s="359"/>
      <c r="FS38" s="359"/>
      <c r="FT38" s="359"/>
      <c r="FU38" s="359"/>
      <c r="FV38" s="359"/>
      <c r="FW38" s="359"/>
      <c r="FX38" s="359"/>
      <c r="FY38" s="359"/>
      <c r="FZ38" s="359"/>
      <c r="GA38" s="359"/>
      <c r="GB38" s="359"/>
      <c r="GC38" s="359"/>
      <c r="GD38" s="359"/>
      <c r="GE38" s="359"/>
      <c r="GF38" s="359"/>
      <c r="GG38" s="359"/>
      <c r="GH38" s="359"/>
      <c r="GI38" s="359"/>
      <c r="GJ38" s="359"/>
      <c r="GK38" s="359"/>
      <c r="GL38" s="359"/>
      <c r="GM38" s="359"/>
      <c r="GN38" s="359"/>
      <c r="GO38" s="359"/>
      <c r="GP38" s="359"/>
      <c r="GQ38" s="359"/>
      <c r="GR38" s="359"/>
      <c r="GS38" s="359"/>
      <c r="GT38" s="359"/>
      <c r="GU38" s="359"/>
      <c r="GV38" s="359"/>
      <c r="GW38" s="359"/>
      <c r="GX38" s="359"/>
      <c r="GY38" s="359"/>
      <c r="GZ38" s="359"/>
      <c r="HA38" s="359"/>
      <c r="HB38" s="359"/>
      <c r="HC38" s="359"/>
      <c r="HD38" s="359"/>
      <c r="HE38" s="359"/>
      <c r="HF38" s="359"/>
      <c r="HG38" s="359"/>
      <c r="HH38" s="359"/>
      <c r="HI38" s="359"/>
      <c r="HJ38" s="359"/>
      <c r="HK38" s="359"/>
      <c r="HL38" s="359"/>
      <c r="HM38" s="359"/>
      <c r="HN38" s="359"/>
      <c r="HO38" s="359"/>
      <c r="HP38" s="359"/>
      <c r="HQ38" s="359"/>
      <c r="HR38" s="359"/>
      <c r="HS38" s="359"/>
      <c r="HT38" s="359"/>
      <c r="HU38" s="359"/>
      <c r="HV38" s="359"/>
      <c r="HW38" s="359"/>
      <c r="HX38" s="359"/>
      <c r="HY38" s="359"/>
      <c r="HZ38" s="359"/>
      <c r="IA38" s="359"/>
      <c r="IB38" s="359"/>
      <c r="IC38" s="359"/>
      <c r="ID38" s="359"/>
      <c r="IE38" s="359"/>
      <c r="IF38" s="359"/>
      <c r="IG38" s="359"/>
      <c r="IH38" s="359"/>
      <c r="II38" s="359"/>
      <c r="IJ38" s="359"/>
      <c r="IK38" s="359"/>
      <c r="IL38" s="359"/>
      <c r="IM38" s="359"/>
      <c r="IN38" s="359"/>
      <c r="IO38" s="359"/>
      <c r="IP38" s="359"/>
      <c r="IQ38" s="359"/>
      <c r="IR38" s="359"/>
      <c r="IS38" s="359"/>
      <c r="IT38" s="359"/>
      <c r="IU38" s="359"/>
      <c r="IV38" s="359"/>
    </row>
  </sheetData>
  <mergeCells count="1">
    <mergeCell ref="A1:D1"/>
  </mergeCells>
  <phoneticPr fontId="2" type="noConversion"/>
  <printOptions horizontalCentered="1"/>
  <pageMargins left="0.79027777777777797" right="0.79027777777777797" top="0.97916666666666696" bottom="0.97916666666666696" header="0.2" footer="0.79027777777777797"/>
  <pageSetup paperSize="9" firstPageNumber="12" orientation="portrait" useFirstPageNumber="1"/>
  <headerFooter alignWithMargins="0">
    <oddFooter>&amp;C第 &amp;P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XEV29"/>
  <sheetViews>
    <sheetView workbookViewId="0">
      <selection activeCell="R14" sqref="R14"/>
    </sheetView>
  </sheetViews>
  <sheetFormatPr defaultColWidth="9" defaultRowHeight="15.75"/>
  <cols>
    <col min="1" max="1" width="28.375" style="193" customWidth="1"/>
    <col min="2" max="2" width="10.125" style="193" customWidth="1"/>
    <col min="3" max="3" width="27.875" style="193" customWidth="1"/>
    <col min="4" max="4" width="10.25" style="193" customWidth="1"/>
    <col min="5" max="5" width="9" style="193"/>
    <col min="6" max="15" width="9" style="193" hidden="1" customWidth="1"/>
    <col min="16" max="16376" width="9" style="193"/>
  </cols>
  <sheetData>
    <row r="1" spans="1:15" s="192" customFormat="1" ht="45.75" customHeight="1">
      <c r="A1" s="567" t="s">
        <v>26</v>
      </c>
      <c r="B1" s="567"/>
      <c r="C1" s="567"/>
      <c r="D1" s="567"/>
      <c r="E1" s="211"/>
    </row>
    <row r="2" spans="1:15" ht="19.5" customHeight="1">
      <c r="A2" s="269"/>
      <c r="B2" s="270"/>
      <c r="C2" s="269"/>
      <c r="D2" s="271" t="s">
        <v>81</v>
      </c>
    </row>
    <row r="3" spans="1:15" ht="32.1" customHeight="1">
      <c r="A3" s="568" t="s">
        <v>295</v>
      </c>
      <c r="B3" s="568"/>
      <c r="C3" s="568" t="s">
        <v>296</v>
      </c>
      <c r="D3" s="568"/>
    </row>
    <row r="4" spans="1:15" ht="27" customHeight="1">
      <c r="A4" s="272" t="s">
        <v>297</v>
      </c>
      <c r="B4" s="273" t="s">
        <v>298</v>
      </c>
      <c r="C4" s="274" t="s">
        <v>297</v>
      </c>
      <c r="D4" s="273" t="s">
        <v>298</v>
      </c>
      <c r="F4" s="350" t="s">
        <v>88</v>
      </c>
      <c r="G4" s="350" t="s">
        <v>299</v>
      </c>
      <c r="H4" s="350" t="s">
        <v>300</v>
      </c>
      <c r="I4" s="350" t="s">
        <v>88</v>
      </c>
      <c r="J4" s="350" t="s">
        <v>301</v>
      </c>
      <c r="K4" s="350" t="s">
        <v>302</v>
      </c>
    </row>
    <row r="5" spans="1:15" ht="24.95" customHeight="1">
      <c r="A5" s="275" t="s">
        <v>303</v>
      </c>
      <c r="B5" s="279">
        <v>748261</v>
      </c>
      <c r="C5" s="277" t="s">
        <v>304</v>
      </c>
      <c r="D5" s="279">
        <f>SUM(D6:D7)</f>
        <v>3150448</v>
      </c>
      <c r="F5" s="351">
        <f t="shared" ref="F5" si="0">+G5+H5</f>
        <v>149429</v>
      </c>
      <c r="G5" s="351"/>
      <c r="H5" s="351">
        <v>149429</v>
      </c>
      <c r="I5" s="351">
        <f t="shared" ref="I5" si="1">+J5+K5</f>
        <v>2988818</v>
      </c>
      <c r="J5" s="351">
        <v>2549402</v>
      </c>
      <c r="K5" s="351">
        <v>439416</v>
      </c>
    </row>
    <row r="6" spans="1:15" ht="24.95" customHeight="1">
      <c r="A6" s="278" t="s">
        <v>305</v>
      </c>
      <c r="B6" s="279">
        <f>+B7+B12+B17</f>
        <v>2094440</v>
      </c>
      <c r="C6" s="277" t="s">
        <v>306</v>
      </c>
      <c r="D6" s="279">
        <f>3150448-922125</f>
        <v>2228323</v>
      </c>
      <c r="F6" s="351">
        <f t="shared" ref="F6:F21" si="2">+G6+H6</f>
        <v>1752112</v>
      </c>
      <c r="G6" s="351">
        <f>SUM(G7,G12,G18)</f>
        <v>1552091</v>
      </c>
      <c r="H6" s="351">
        <v>200021</v>
      </c>
      <c r="I6" s="351">
        <f t="shared" ref="I6:I21" si="3">+J6+K6</f>
        <v>1931167</v>
      </c>
      <c r="J6" s="351">
        <f>+J5-J7</f>
        <v>1600761</v>
      </c>
      <c r="K6" s="351">
        <v>330406</v>
      </c>
    </row>
    <row r="7" spans="1:15" ht="24.95" customHeight="1">
      <c r="A7" s="278" t="s">
        <v>307</v>
      </c>
      <c r="B7" s="46">
        <f>+B8+B9+B10+B11</f>
        <v>85103</v>
      </c>
      <c r="C7" s="278" t="s">
        <v>308</v>
      </c>
      <c r="D7" s="279">
        <v>922125</v>
      </c>
      <c r="F7" s="351">
        <f t="shared" si="2"/>
        <v>81562</v>
      </c>
      <c r="G7" s="351">
        <f>SUM(G8:G11)</f>
        <v>64896</v>
      </c>
      <c r="H7" s="351">
        <v>16666</v>
      </c>
      <c r="I7" s="351">
        <f t="shared" si="3"/>
        <v>1057651</v>
      </c>
      <c r="J7" s="351">
        <v>948641</v>
      </c>
      <c r="K7" s="351">
        <v>109010</v>
      </c>
    </row>
    <row r="8" spans="1:15" ht="24.95" customHeight="1">
      <c r="A8" s="278" t="s">
        <v>309</v>
      </c>
      <c r="B8" s="46">
        <v>34774</v>
      </c>
      <c r="C8" s="278" t="s">
        <v>310</v>
      </c>
      <c r="D8" s="276">
        <f>SUM(D9:D10)</f>
        <v>21896</v>
      </c>
      <c r="F8" s="351">
        <f t="shared" si="2"/>
        <v>34774</v>
      </c>
      <c r="G8" s="351">
        <v>24337</v>
      </c>
      <c r="H8" s="351">
        <v>10437</v>
      </c>
      <c r="I8" s="351">
        <f t="shared" si="3"/>
        <v>86058</v>
      </c>
      <c r="J8" s="351">
        <f>SUM(J9:J12)</f>
        <v>75288</v>
      </c>
      <c r="K8" s="351">
        <v>10770</v>
      </c>
      <c r="M8" s="193">
        <f>+H19-I8</f>
        <v>-31810</v>
      </c>
    </row>
    <row r="9" spans="1:15" ht="24.95" customHeight="1">
      <c r="A9" s="278" t="s">
        <v>311</v>
      </c>
      <c r="B9" s="46">
        <v>4608</v>
      </c>
      <c r="C9" s="278" t="s">
        <v>312</v>
      </c>
      <c r="D9" s="279">
        <v>1706</v>
      </c>
      <c r="F9" s="351">
        <f t="shared" si="2"/>
        <v>4608</v>
      </c>
      <c r="G9" s="351">
        <v>4493</v>
      </c>
      <c r="H9" s="351">
        <v>115</v>
      </c>
      <c r="I9" s="351">
        <f t="shared" si="3"/>
        <v>56532</v>
      </c>
      <c r="J9" s="351">
        <v>54826</v>
      </c>
      <c r="K9" s="351">
        <v>1706</v>
      </c>
    </row>
    <row r="10" spans="1:15" ht="24.95" customHeight="1">
      <c r="A10" s="278" t="s">
        <v>313</v>
      </c>
      <c r="B10" s="46">
        <v>14573</v>
      </c>
      <c r="C10" s="278" t="s">
        <v>314</v>
      </c>
      <c r="D10" s="279">
        <v>20190</v>
      </c>
      <c r="F10" s="351">
        <f t="shared" si="2"/>
        <v>9441</v>
      </c>
      <c r="G10" s="351">
        <v>3327</v>
      </c>
      <c r="H10" s="351">
        <v>6114</v>
      </c>
      <c r="I10" s="351">
        <f t="shared" si="3"/>
        <v>27637</v>
      </c>
      <c r="J10" s="351">
        <v>18573</v>
      </c>
      <c r="K10" s="351">
        <v>9064</v>
      </c>
    </row>
    <row r="11" spans="1:15" ht="24.95" customHeight="1">
      <c r="A11" s="278" t="s">
        <v>315</v>
      </c>
      <c r="B11" s="279">
        <f>14459+16689</f>
        <v>31148</v>
      </c>
      <c r="C11" s="278"/>
      <c r="D11" s="279"/>
      <c r="F11" s="351">
        <f t="shared" si="2"/>
        <v>32739</v>
      </c>
      <c r="G11" s="351">
        <v>32739</v>
      </c>
      <c r="H11" s="351"/>
      <c r="I11" s="351">
        <f t="shared" si="3"/>
        <v>1889</v>
      </c>
      <c r="J11" s="351">
        <v>1889</v>
      </c>
      <c r="K11" s="351"/>
    </row>
    <row r="12" spans="1:15" ht="24.95" customHeight="1">
      <c r="A12" s="278" t="s">
        <v>316</v>
      </c>
      <c r="B12" s="276">
        <f>+B13+B14+B15+B16</f>
        <v>1087212</v>
      </c>
      <c r="C12" s="284" t="s">
        <v>317</v>
      </c>
      <c r="D12" s="276"/>
      <c r="F12" s="351">
        <f t="shared" si="2"/>
        <v>612899</v>
      </c>
      <c r="G12" s="351">
        <f>SUM(G13:G17)</f>
        <v>538554</v>
      </c>
      <c r="H12" s="351">
        <v>74345</v>
      </c>
      <c r="I12" s="351">
        <f t="shared" si="3"/>
        <v>0</v>
      </c>
      <c r="J12" s="351"/>
      <c r="K12" s="351"/>
      <c r="O12" s="193">
        <v>1264584</v>
      </c>
    </row>
    <row r="13" spans="1:15" ht="24.95" customHeight="1">
      <c r="A13" s="278" t="s">
        <v>318</v>
      </c>
      <c r="B13" s="46"/>
      <c r="C13" s="285" t="s">
        <v>319</v>
      </c>
      <c r="D13" s="276">
        <v>91764</v>
      </c>
      <c r="F13" s="351">
        <f t="shared" si="2"/>
        <v>0</v>
      </c>
      <c r="G13" s="351">
        <v>1859</v>
      </c>
      <c r="H13" s="351">
        <v>-1859</v>
      </c>
      <c r="I13" s="351">
        <f t="shared" si="3"/>
        <v>35582</v>
      </c>
      <c r="J13" s="351"/>
      <c r="K13" s="351">
        <v>35582</v>
      </c>
      <c r="O13" s="193">
        <f>+O12-B12</f>
        <v>177372</v>
      </c>
    </row>
    <row r="14" spans="1:15" ht="24.95" customHeight="1">
      <c r="A14" s="278" t="s">
        <v>320</v>
      </c>
      <c r="B14" s="46">
        <v>386967</v>
      </c>
      <c r="C14" s="285" t="s">
        <v>321</v>
      </c>
      <c r="D14" s="286">
        <v>5000</v>
      </c>
      <c r="F14" s="351">
        <f t="shared" si="2"/>
        <v>372580</v>
      </c>
      <c r="G14" s="351">
        <v>322163</v>
      </c>
      <c r="H14" s="351">
        <v>50417</v>
      </c>
      <c r="I14" s="351">
        <f t="shared" si="3"/>
        <v>10000</v>
      </c>
      <c r="J14" s="351">
        <v>10000</v>
      </c>
      <c r="K14" s="351"/>
    </row>
    <row r="15" spans="1:15" ht="24.95" customHeight="1">
      <c r="A15" s="278" t="s">
        <v>322</v>
      </c>
      <c r="B15" s="279">
        <v>146856</v>
      </c>
      <c r="C15" s="277" t="s">
        <v>323</v>
      </c>
      <c r="D15" s="279"/>
      <c r="F15" s="351">
        <f t="shared" si="2"/>
        <v>107815</v>
      </c>
      <c r="G15" s="351">
        <f>91346+4754</f>
        <v>96100</v>
      </c>
      <c r="H15" s="351">
        <v>11715</v>
      </c>
      <c r="I15" s="351">
        <f t="shared" si="3"/>
        <v>0</v>
      </c>
      <c r="J15" s="351"/>
      <c r="K15" s="351"/>
    </row>
    <row r="16" spans="1:15" ht="24.95" customHeight="1">
      <c r="A16" s="278" t="s">
        <v>324</v>
      </c>
      <c r="B16" s="46">
        <f>576061-22672</f>
        <v>553389</v>
      </c>
      <c r="C16" s="277" t="s">
        <v>325</v>
      </c>
      <c r="D16" s="279">
        <v>22086</v>
      </c>
      <c r="F16" s="351">
        <f t="shared" si="2"/>
        <v>30096</v>
      </c>
      <c r="G16" s="351">
        <v>29969</v>
      </c>
      <c r="H16" s="351">
        <v>127</v>
      </c>
      <c r="I16" s="351">
        <f t="shared" si="3"/>
        <v>0</v>
      </c>
      <c r="J16" s="351"/>
      <c r="K16" s="351"/>
    </row>
    <row r="17" spans="1:248" ht="24.95" customHeight="1">
      <c r="A17" s="278" t="s">
        <v>326</v>
      </c>
      <c r="B17" s="276">
        <v>922125</v>
      </c>
      <c r="C17" s="277"/>
      <c r="D17" s="286"/>
      <c r="F17" s="351">
        <f t="shared" si="2"/>
        <v>89228</v>
      </c>
      <c r="G17" s="351">
        <v>88463</v>
      </c>
      <c r="H17" s="351">
        <v>765</v>
      </c>
      <c r="I17" s="351">
        <f t="shared" si="3"/>
        <v>0</v>
      </c>
      <c r="J17" s="351"/>
      <c r="K17" s="351"/>
    </row>
    <row r="18" spans="1:248" ht="24.95" customHeight="1">
      <c r="A18" s="352" t="s">
        <v>327</v>
      </c>
      <c r="B18" s="279"/>
      <c r="C18" s="289"/>
      <c r="D18" s="276"/>
      <c r="F18" s="351">
        <f t="shared" si="2"/>
        <v>1057651</v>
      </c>
      <c r="G18" s="351">
        <v>948641</v>
      </c>
      <c r="H18" s="351">
        <v>109010</v>
      </c>
      <c r="I18" s="351">
        <f t="shared" si="3"/>
        <v>0</v>
      </c>
      <c r="J18" s="351"/>
      <c r="K18" s="351"/>
      <c r="M18" s="193">
        <f>+F18-K13</f>
        <v>1022069</v>
      </c>
    </row>
    <row r="19" spans="1:248" ht="24.95" customHeight="1">
      <c r="A19" s="352" t="s">
        <v>328</v>
      </c>
      <c r="B19" s="46">
        <v>182020</v>
      </c>
      <c r="C19" s="289"/>
      <c r="D19" s="279"/>
      <c r="F19" s="351">
        <f t="shared" si="2"/>
        <v>54248</v>
      </c>
      <c r="G19" s="351"/>
      <c r="H19" s="351">
        <v>54248</v>
      </c>
      <c r="I19" s="351">
        <f t="shared" si="3"/>
        <v>0</v>
      </c>
      <c r="J19" s="351"/>
      <c r="K19" s="351"/>
    </row>
    <row r="20" spans="1:248" ht="24.95" customHeight="1">
      <c r="A20" s="352" t="s">
        <v>329</v>
      </c>
      <c r="B20" s="46">
        <v>49201</v>
      </c>
      <c r="C20" s="289"/>
      <c r="D20" s="279"/>
      <c r="F20" s="351">
        <f t="shared" si="2"/>
        <v>45793</v>
      </c>
      <c r="G20" s="351">
        <v>24152</v>
      </c>
      <c r="H20" s="351">
        <v>21641</v>
      </c>
      <c r="I20" s="351">
        <f t="shared" si="3"/>
        <v>0</v>
      </c>
      <c r="J20" s="351"/>
      <c r="K20" s="351"/>
    </row>
    <row r="21" spans="1:248" ht="24.95" customHeight="1">
      <c r="A21" s="352" t="s">
        <v>330</v>
      </c>
      <c r="B21" s="46">
        <v>22672</v>
      </c>
      <c r="C21" s="289"/>
      <c r="D21" s="279"/>
      <c r="F21" s="351">
        <f t="shared" si="2"/>
        <v>49000</v>
      </c>
      <c r="G21" s="351"/>
      <c r="H21" s="351">
        <v>49000</v>
      </c>
      <c r="I21" s="351">
        <f t="shared" si="3"/>
        <v>0</v>
      </c>
      <c r="J21" s="351"/>
      <c r="K21" s="351"/>
    </row>
    <row r="22" spans="1:248" ht="24.95" customHeight="1">
      <c r="A22" s="352" t="s">
        <v>331</v>
      </c>
      <c r="B22" s="46">
        <v>194600</v>
      </c>
      <c r="C22" s="289"/>
      <c r="D22" s="279"/>
      <c r="F22" s="351"/>
      <c r="G22" s="353"/>
      <c r="H22" s="353"/>
      <c r="I22" s="351"/>
      <c r="J22" s="353"/>
      <c r="K22" s="353"/>
    </row>
    <row r="23" spans="1:248" ht="24.95" customHeight="1">
      <c r="A23" s="352"/>
      <c r="B23" s="46"/>
      <c r="C23" s="289"/>
      <c r="D23" s="279"/>
      <c r="F23" s="351">
        <f>+G23+H23</f>
        <v>55411</v>
      </c>
      <c r="G23" s="353">
        <v>55000</v>
      </c>
      <c r="H23" s="353">
        <v>411</v>
      </c>
      <c r="I23" s="351">
        <f>+J23+K23</f>
        <v>0</v>
      </c>
      <c r="J23" s="353"/>
      <c r="K23" s="353"/>
    </row>
    <row r="24" spans="1:248" ht="26.1" customHeight="1">
      <c r="A24" s="354" t="s">
        <v>332</v>
      </c>
      <c r="B24" s="355">
        <f>SUM(B5,B6,B18,B19,B20,B21,B22)</f>
        <v>3291194</v>
      </c>
      <c r="C24" s="354" t="s">
        <v>333</v>
      </c>
      <c r="D24" s="355">
        <f>+D5+D8+D13+D14+D17+D15+D16</f>
        <v>3291194</v>
      </c>
      <c r="F24" s="351">
        <f>+G24+H24</f>
        <v>2117011</v>
      </c>
      <c r="G24" s="351">
        <f>SUM(G5,G6,G19,G20,G21,G23)</f>
        <v>1631243</v>
      </c>
      <c r="H24" s="356">
        <v>485768</v>
      </c>
      <c r="I24" s="351">
        <f>+J24+K24</f>
        <v>3110458</v>
      </c>
      <c r="J24" s="351">
        <f>+J5+J8+J13</f>
        <v>2624690</v>
      </c>
      <c r="K24" s="351">
        <v>485768</v>
      </c>
    </row>
    <row r="25" spans="1:248">
      <c r="D25" s="291"/>
    </row>
    <row r="26" spans="1:248">
      <c r="D26" s="291"/>
    </row>
    <row r="27" spans="1:248" hidden="1">
      <c r="D27" s="193">
        <f>+D24-B24</f>
        <v>0</v>
      </c>
      <c r="N27" s="193">
        <f>+B17+D27</f>
        <v>922125</v>
      </c>
    </row>
    <row r="28" spans="1:248" customFormat="1" hidden="1">
      <c r="A28" s="193"/>
      <c r="B28" s="193"/>
      <c r="C28" s="193">
        <f>+B17+D27</f>
        <v>922125</v>
      </c>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c r="BG28" s="193"/>
      <c r="BH28" s="193"/>
      <c r="BI28" s="193"/>
      <c r="BJ28" s="193"/>
      <c r="BK28" s="193"/>
      <c r="BL28" s="193"/>
      <c r="BM28" s="193"/>
      <c r="BN28" s="193"/>
      <c r="BO28" s="193"/>
      <c r="BP28" s="193"/>
      <c r="BQ28" s="193"/>
      <c r="BR28" s="193"/>
      <c r="BS28" s="193"/>
      <c r="BT28" s="193"/>
      <c r="BU28" s="193"/>
      <c r="BV28" s="193"/>
      <c r="BW28" s="193"/>
      <c r="BX28" s="193"/>
      <c r="BY28" s="193"/>
      <c r="BZ28" s="193"/>
      <c r="CA28" s="193"/>
      <c r="CB28" s="193"/>
      <c r="CC28" s="193"/>
      <c r="CD28" s="193"/>
      <c r="CE28" s="193"/>
      <c r="CF28" s="193"/>
      <c r="CG28" s="193"/>
      <c r="CH28" s="193"/>
      <c r="CI28" s="193"/>
      <c r="CJ28" s="193"/>
      <c r="CK28" s="193"/>
      <c r="CL28" s="193"/>
      <c r="CM28" s="193"/>
      <c r="CN28" s="193"/>
      <c r="CO28" s="193"/>
      <c r="CP28" s="193"/>
      <c r="CQ28" s="193"/>
      <c r="CR28" s="193"/>
      <c r="CS28" s="193"/>
      <c r="CT28" s="193"/>
      <c r="CU28" s="193"/>
      <c r="CV28" s="193"/>
      <c r="CW28" s="193"/>
      <c r="CX28" s="193"/>
      <c r="CY28" s="193"/>
      <c r="CZ28" s="193"/>
      <c r="DA28" s="193"/>
      <c r="DB28" s="193"/>
      <c r="DC28" s="193"/>
      <c r="DD28" s="193"/>
      <c r="DE28" s="193"/>
      <c r="DF28" s="193"/>
      <c r="DG28" s="193"/>
      <c r="DH28" s="193"/>
      <c r="DI28" s="193"/>
      <c r="DJ28" s="193"/>
      <c r="DK28" s="193"/>
      <c r="DL28" s="193"/>
      <c r="DM28" s="193"/>
      <c r="DN28" s="193"/>
      <c r="DO28" s="193"/>
      <c r="DP28" s="193"/>
      <c r="DQ28" s="193"/>
      <c r="DR28" s="193"/>
      <c r="DS28" s="193"/>
      <c r="DT28" s="193"/>
      <c r="DU28" s="193"/>
      <c r="DV28" s="193"/>
      <c r="DW28" s="193"/>
      <c r="DX28" s="193"/>
      <c r="DY28" s="193"/>
      <c r="DZ28" s="193"/>
      <c r="EA28" s="193"/>
      <c r="EB28" s="193"/>
      <c r="EC28" s="193"/>
      <c r="ED28" s="193"/>
      <c r="EE28" s="193"/>
      <c r="EF28" s="193"/>
      <c r="EG28" s="193"/>
      <c r="EH28" s="193"/>
      <c r="EI28" s="193"/>
      <c r="EJ28" s="193"/>
      <c r="EK28" s="193"/>
      <c r="EL28" s="193"/>
      <c r="EM28" s="193"/>
      <c r="EN28" s="193"/>
      <c r="EO28" s="193"/>
      <c r="EP28" s="193"/>
      <c r="EQ28" s="193"/>
      <c r="ER28" s="193"/>
      <c r="ES28" s="193"/>
      <c r="ET28" s="193"/>
      <c r="EU28" s="193"/>
      <c r="EV28" s="193"/>
      <c r="EW28" s="193"/>
      <c r="EX28" s="193"/>
      <c r="EY28" s="193"/>
      <c r="EZ28" s="193"/>
      <c r="FA28" s="193"/>
      <c r="FB28" s="193"/>
      <c r="FC28" s="193"/>
      <c r="FD28" s="193"/>
      <c r="FE28" s="193"/>
      <c r="FF28" s="193"/>
      <c r="FG28" s="193"/>
      <c r="FH28" s="193"/>
      <c r="FI28" s="193"/>
      <c r="FJ28" s="193"/>
      <c r="FK28" s="193"/>
      <c r="FL28" s="193"/>
      <c r="FM28" s="193"/>
      <c r="FN28" s="193"/>
      <c r="FO28" s="193"/>
      <c r="FP28" s="193"/>
      <c r="FQ28" s="193"/>
      <c r="FR28" s="193"/>
      <c r="FS28" s="193"/>
      <c r="FT28" s="193"/>
      <c r="FU28" s="193"/>
      <c r="FV28" s="193"/>
      <c r="FW28" s="193"/>
      <c r="FX28" s="193"/>
      <c r="FY28" s="193"/>
      <c r="FZ28" s="193"/>
      <c r="GA28" s="193"/>
      <c r="GB28" s="193"/>
      <c r="GC28" s="193"/>
      <c r="GD28" s="193"/>
      <c r="GE28" s="193"/>
      <c r="GF28" s="193"/>
      <c r="GG28" s="193"/>
      <c r="GH28" s="193"/>
      <c r="GI28" s="193"/>
      <c r="GJ28" s="193"/>
      <c r="GK28" s="193"/>
      <c r="GL28" s="193"/>
      <c r="GM28" s="193"/>
      <c r="GN28" s="193"/>
      <c r="GO28" s="193"/>
      <c r="GP28" s="193"/>
      <c r="GQ28" s="193"/>
      <c r="GR28" s="193"/>
      <c r="GS28" s="193"/>
      <c r="GT28" s="193"/>
      <c r="GU28" s="193"/>
      <c r="GV28" s="193"/>
      <c r="GW28" s="193"/>
      <c r="GX28" s="193"/>
      <c r="GY28" s="193"/>
      <c r="GZ28" s="193"/>
      <c r="HA28" s="193"/>
      <c r="HB28" s="193"/>
      <c r="HC28" s="193"/>
      <c r="HD28" s="193"/>
      <c r="HE28" s="193"/>
      <c r="HF28" s="193"/>
      <c r="HG28" s="193"/>
      <c r="HH28" s="193"/>
      <c r="HI28" s="193"/>
      <c r="HJ28" s="193"/>
      <c r="HK28" s="193"/>
      <c r="HL28" s="193"/>
      <c r="HM28" s="193"/>
      <c r="HN28" s="193"/>
      <c r="HO28" s="193"/>
      <c r="HP28" s="193"/>
      <c r="HQ28" s="193"/>
      <c r="HR28" s="193"/>
      <c r="HS28" s="193"/>
      <c r="HT28" s="193"/>
      <c r="HU28" s="193"/>
      <c r="HV28" s="193"/>
      <c r="HW28" s="193"/>
      <c r="HX28" s="193"/>
      <c r="HY28" s="193"/>
      <c r="HZ28" s="193"/>
      <c r="IA28" s="193"/>
      <c r="IB28" s="193"/>
      <c r="IC28" s="193"/>
      <c r="ID28" s="193"/>
      <c r="IE28" s="193"/>
      <c r="IF28" s="193"/>
      <c r="IG28" s="193"/>
      <c r="IH28" s="193"/>
      <c r="II28" s="193"/>
      <c r="IJ28" s="193"/>
      <c r="IK28" s="193"/>
      <c r="IL28" s="193"/>
      <c r="IM28" s="193"/>
      <c r="IN28" s="193"/>
    </row>
    <row r="29" spans="1:248" hidden="1"/>
  </sheetData>
  <mergeCells count="3">
    <mergeCell ref="A1:D1"/>
    <mergeCell ref="A3:B3"/>
    <mergeCell ref="C3:D3"/>
  </mergeCells>
  <phoneticPr fontId="2" type="noConversion"/>
  <printOptions horizontalCentered="1"/>
  <pageMargins left="0.78680555555555598" right="0.78680555555555598" top="0.86527777777777803" bottom="0.70763888888888904" header="0.196527777777778" footer="0.51041666666666696"/>
  <pageSetup paperSize="9" firstPageNumber="13" orientation="portrait" useFirstPageNumber="1"/>
  <headerFooter alignWithMargins="0">
    <oddFooter>&amp;C第 &amp;P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T43"/>
  <sheetViews>
    <sheetView showGridLines="0" showZeros="0" workbookViewId="0">
      <selection activeCell="A43" sqref="A43:D43"/>
    </sheetView>
  </sheetViews>
  <sheetFormatPr defaultColWidth="9.25" defaultRowHeight="15.75"/>
  <cols>
    <col min="1" max="1" width="29.5" style="328" customWidth="1"/>
    <col min="2" max="2" width="14.875" style="328" customWidth="1"/>
    <col min="3" max="3" width="17.25" style="328" customWidth="1"/>
    <col min="4" max="4" width="13.75" style="328" customWidth="1"/>
    <col min="5" max="5" width="12.625" style="328" customWidth="1"/>
    <col min="6" max="8" width="9.25" style="328" hidden="1" customWidth="1"/>
    <col min="9" max="9" width="12.625" style="328" hidden="1" customWidth="1"/>
    <col min="10" max="10" width="9.25" style="328" hidden="1" customWidth="1"/>
    <col min="11" max="11" width="9.375" style="328" hidden="1" customWidth="1"/>
    <col min="12" max="12" width="12.625" style="328" hidden="1" customWidth="1"/>
    <col min="13" max="13" width="10.375" style="328" hidden="1" customWidth="1"/>
    <col min="14" max="15" width="12.625" style="328" hidden="1" customWidth="1"/>
    <col min="16" max="16" width="15.125" style="328" hidden="1" customWidth="1"/>
    <col min="17" max="17" width="12.625" style="328" hidden="1" customWidth="1"/>
    <col min="18" max="18" width="9.25" style="328" hidden="1" customWidth="1"/>
    <col min="19" max="19" width="14.625" style="328" hidden="1" customWidth="1"/>
    <col min="20" max="22" width="9.25" style="328" hidden="1" customWidth="1"/>
    <col min="23" max="254" width="9.25" style="328"/>
  </cols>
  <sheetData>
    <row r="1" spans="1:21" s="327" customFormat="1" ht="40.5" customHeight="1">
      <c r="A1" s="565" t="s">
        <v>28</v>
      </c>
      <c r="B1" s="565"/>
      <c r="C1" s="565"/>
      <c r="D1" s="565"/>
      <c r="E1" s="329"/>
      <c r="F1" s="329"/>
    </row>
    <row r="2" spans="1:21" ht="20.25" customHeight="1">
      <c r="D2" s="330" t="s">
        <v>334</v>
      </c>
    </row>
    <row r="3" spans="1:21" ht="31.5" customHeight="1">
      <c r="A3" s="331" t="s">
        <v>335</v>
      </c>
      <c r="B3" s="332" t="s">
        <v>336</v>
      </c>
      <c r="C3" s="333" t="s">
        <v>337</v>
      </c>
      <c r="D3" s="334" t="s">
        <v>338</v>
      </c>
      <c r="F3" s="335" t="s">
        <v>88</v>
      </c>
      <c r="G3" s="336" t="s">
        <v>339</v>
      </c>
      <c r="H3" s="335" t="s">
        <v>288</v>
      </c>
    </row>
    <row r="4" spans="1:21" ht="14.45" customHeight="1">
      <c r="A4" s="337" t="s">
        <v>92</v>
      </c>
      <c r="B4" s="338">
        <f t="shared" ref="B4:C4" si="0">SUM(B5:B19)</f>
        <v>72435</v>
      </c>
      <c r="C4" s="339">
        <f t="shared" si="0"/>
        <v>85461</v>
      </c>
      <c r="D4" s="340">
        <f t="shared" ref="D4:D5" si="1">+(C4-B4)/B4*100</f>
        <v>17.983019258645683</v>
      </c>
      <c r="F4" s="341"/>
      <c r="G4" s="339">
        <f>SUM(G5:G19)</f>
        <v>79263</v>
      </c>
      <c r="H4" s="341"/>
      <c r="O4" s="328">
        <f>+B4*1.12</f>
        <v>81127.200000000012</v>
      </c>
      <c r="P4" s="339">
        <f>SUM(P5:P19)</f>
        <v>85461</v>
      </c>
      <c r="Q4" s="348">
        <f>+P4/B4-1</f>
        <v>0.17983019258645672</v>
      </c>
      <c r="S4" s="349">
        <v>6.4359709058849504</v>
      </c>
    </row>
    <row r="5" spans="1:21" ht="14.45" customHeight="1">
      <c r="A5" s="337" t="s">
        <v>93</v>
      </c>
      <c r="B5" s="342">
        <v>16709</v>
      </c>
      <c r="C5" s="342">
        <v>18000</v>
      </c>
      <c r="D5" s="340">
        <f t="shared" si="1"/>
        <v>7.726375007480998</v>
      </c>
      <c r="F5" s="341">
        <f t="shared" ref="F5" si="2">+G5+H5</f>
        <v>20338</v>
      </c>
      <c r="G5" s="342">
        <v>20338</v>
      </c>
      <c r="H5" s="341"/>
      <c r="O5" s="328">
        <f t="shared" ref="O5" si="3">+B5*1.12</f>
        <v>18714.080000000002</v>
      </c>
      <c r="P5" s="342">
        <v>18000</v>
      </c>
      <c r="Q5" s="348">
        <f t="shared" ref="Q5" si="4">+P5/B5-1</f>
        <v>7.72637500748099E-2</v>
      </c>
      <c r="S5" s="349">
        <v>-2.31511254019293</v>
      </c>
    </row>
    <row r="6" spans="1:21" ht="14.45" customHeight="1">
      <c r="A6" s="337" t="s">
        <v>94</v>
      </c>
      <c r="B6" s="342">
        <v>803</v>
      </c>
      <c r="C6" s="342"/>
      <c r="D6" s="340"/>
      <c r="F6" s="341">
        <f t="shared" ref="F6:F18" si="5">+G6+H6</f>
        <v>0</v>
      </c>
      <c r="G6" s="342">
        <v>0</v>
      </c>
      <c r="H6" s="341"/>
      <c r="O6" s="328">
        <f t="shared" ref="O6:O42" si="6">+B6*1.12</f>
        <v>899.36000000000013</v>
      </c>
      <c r="P6" s="342"/>
      <c r="Q6" s="348">
        <f t="shared" ref="Q6:Q42" si="7">+P6/B6-1</f>
        <v>-1</v>
      </c>
      <c r="S6" s="349">
        <v>532.28346456692896</v>
      </c>
    </row>
    <row r="7" spans="1:21" ht="14.45" customHeight="1">
      <c r="A7" s="337" t="s">
        <v>95</v>
      </c>
      <c r="B7" s="342">
        <v>5969</v>
      </c>
      <c r="C7" s="342">
        <v>6500</v>
      </c>
      <c r="D7" s="340">
        <f t="shared" ref="D7" si="8">+(C7-B7)/B7*100</f>
        <v>8.8959624727760094</v>
      </c>
      <c r="F7" s="341">
        <f t="shared" si="5"/>
        <v>6095</v>
      </c>
      <c r="G7" s="342">
        <v>6195</v>
      </c>
      <c r="H7" s="341">
        <v>-100</v>
      </c>
      <c r="O7" s="328">
        <f t="shared" si="6"/>
        <v>6685.2800000000007</v>
      </c>
      <c r="P7" s="342">
        <v>6500</v>
      </c>
      <c r="Q7" s="348">
        <f t="shared" si="7"/>
        <v>8.89596247277602E-2</v>
      </c>
      <c r="S7" s="349">
        <v>7.4140723411912903</v>
      </c>
    </row>
    <row r="8" spans="1:21" ht="14.45" hidden="1" customHeight="1">
      <c r="A8" s="337" t="s">
        <v>96</v>
      </c>
      <c r="B8" s="342"/>
      <c r="C8" s="342"/>
      <c r="D8" s="340"/>
      <c r="F8" s="341">
        <f t="shared" si="5"/>
        <v>0</v>
      </c>
      <c r="G8" s="342">
        <v>0</v>
      </c>
      <c r="H8" s="341"/>
      <c r="O8" s="328">
        <f t="shared" si="6"/>
        <v>0</v>
      </c>
      <c r="P8" s="342"/>
      <c r="Q8" s="348" t="e">
        <f t="shared" si="7"/>
        <v>#DIV/0!</v>
      </c>
      <c r="S8" s="349"/>
    </row>
    <row r="9" spans="1:21" ht="14.45" customHeight="1">
      <c r="A9" s="337" t="s">
        <v>97</v>
      </c>
      <c r="B9" s="342">
        <v>1134</v>
      </c>
      <c r="C9" s="342">
        <v>800</v>
      </c>
      <c r="D9" s="340">
        <f t="shared" ref="D9" si="9">+(C9-B9)/B9*100</f>
        <v>-29.453262786596117</v>
      </c>
      <c r="F9" s="341">
        <f t="shared" si="5"/>
        <v>1421</v>
      </c>
      <c r="G9" s="342">
        <v>1321</v>
      </c>
      <c r="H9" s="341">
        <v>100</v>
      </c>
      <c r="O9" s="328">
        <f t="shared" si="6"/>
        <v>1270.0800000000002</v>
      </c>
      <c r="P9" s="342">
        <v>800</v>
      </c>
      <c r="Q9" s="348">
        <f t="shared" si="7"/>
        <v>-0.29453262786596124</v>
      </c>
      <c r="S9" s="349">
        <v>-5.5</v>
      </c>
      <c r="T9" s="328">
        <f>+P7+P9</f>
        <v>7300</v>
      </c>
    </row>
    <row r="10" spans="1:21" ht="14.45" customHeight="1">
      <c r="A10" s="337" t="s">
        <v>98</v>
      </c>
      <c r="B10" s="342"/>
      <c r="C10" s="342"/>
      <c r="D10" s="340"/>
      <c r="F10" s="341">
        <f t="shared" si="5"/>
        <v>0</v>
      </c>
      <c r="G10" s="342">
        <v>0</v>
      </c>
      <c r="H10" s="341"/>
      <c r="O10" s="328">
        <f t="shared" si="6"/>
        <v>0</v>
      </c>
      <c r="P10" s="342"/>
      <c r="Q10" s="348" t="e">
        <f t="shared" si="7"/>
        <v>#DIV/0!</v>
      </c>
      <c r="S10" s="349"/>
    </row>
    <row r="11" spans="1:21" ht="14.45" customHeight="1">
      <c r="A11" s="337" t="s">
        <v>99</v>
      </c>
      <c r="B11" s="342">
        <v>15363</v>
      </c>
      <c r="C11" s="342">
        <v>14850</v>
      </c>
      <c r="D11" s="340">
        <f t="shared" ref="D11:D14" si="10">+(C11-B11)/B11*100</f>
        <v>-3.3391915641476277</v>
      </c>
      <c r="F11" s="341">
        <f t="shared" si="5"/>
        <v>14850</v>
      </c>
      <c r="G11" s="342">
        <v>14850</v>
      </c>
      <c r="H11" s="341"/>
      <c r="O11" s="328">
        <f t="shared" si="6"/>
        <v>17206.560000000001</v>
      </c>
      <c r="P11" s="342">
        <v>14850</v>
      </c>
      <c r="Q11" s="348">
        <f t="shared" si="7"/>
        <v>-3.3391915641476255E-2</v>
      </c>
      <c r="S11" s="349">
        <v>12.450592885375499</v>
      </c>
    </row>
    <row r="12" spans="1:21" ht="14.45" customHeight="1">
      <c r="A12" s="337" t="s">
        <v>100</v>
      </c>
      <c r="B12" s="342">
        <v>1318</v>
      </c>
      <c r="C12" s="342">
        <v>1600</v>
      </c>
      <c r="D12" s="340">
        <f t="shared" si="10"/>
        <v>21.396054628224583</v>
      </c>
      <c r="F12" s="341">
        <f t="shared" si="5"/>
        <v>1106</v>
      </c>
      <c r="G12" s="342">
        <v>1006</v>
      </c>
      <c r="H12" s="341">
        <v>100</v>
      </c>
      <c r="O12" s="328">
        <f t="shared" si="6"/>
        <v>1476.16</v>
      </c>
      <c r="P12" s="342">
        <v>1600</v>
      </c>
      <c r="Q12" s="348">
        <f t="shared" si="7"/>
        <v>0.21396054628224581</v>
      </c>
      <c r="S12" s="349">
        <v>37.434827945776902</v>
      </c>
    </row>
    <row r="13" spans="1:21" ht="14.45" customHeight="1">
      <c r="A13" s="337" t="s">
        <v>101</v>
      </c>
      <c r="B13" s="342">
        <v>814</v>
      </c>
      <c r="C13" s="342">
        <v>1000</v>
      </c>
      <c r="D13" s="340">
        <f t="shared" si="10"/>
        <v>22.850122850122851</v>
      </c>
      <c r="F13" s="341">
        <f t="shared" si="5"/>
        <v>811</v>
      </c>
      <c r="G13" s="342">
        <v>811</v>
      </c>
      <c r="H13" s="341"/>
      <c r="O13" s="328">
        <f t="shared" si="6"/>
        <v>911.68000000000006</v>
      </c>
      <c r="P13" s="342">
        <v>1000</v>
      </c>
      <c r="Q13" s="348">
        <f t="shared" si="7"/>
        <v>0.22850122850122845</v>
      </c>
      <c r="S13" s="349">
        <v>21.856287425149699</v>
      </c>
    </row>
    <row r="14" spans="1:21" ht="14.45" customHeight="1">
      <c r="A14" s="337" t="s">
        <v>102</v>
      </c>
      <c r="B14" s="342">
        <v>1495</v>
      </c>
      <c r="C14" s="342">
        <v>1820</v>
      </c>
      <c r="D14" s="340">
        <f t="shared" si="10"/>
        <v>21.739130434782609</v>
      </c>
      <c r="F14" s="341">
        <f t="shared" si="5"/>
        <v>1646</v>
      </c>
      <c r="G14" s="342">
        <v>1546</v>
      </c>
      <c r="H14" s="341">
        <v>100</v>
      </c>
      <c r="O14" s="328">
        <f t="shared" si="6"/>
        <v>1674.4</v>
      </c>
      <c r="P14" s="342">
        <v>1820</v>
      </c>
      <c r="Q14" s="348">
        <f t="shared" si="7"/>
        <v>0.21739130434782616</v>
      </c>
      <c r="S14" s="349">
        <v>1.9086571233810501</v>
      </c>
      <c r="U14" s="328">
        <f>+C4-P4</f>
        <v>0</v>
      </c>
    </row>
    <row r="15" spans="1:21" ht="14.45" customHeight="1">
      <c r="A15" s="337" t="s">
        <v>103</v>
      </c>
      <c r="B15" s="342">
        <v>43</v>
      </c>
      <c r="C15" s="342">
        <v>1200</v>
      </c>
      <c r="D15" s="340"/>
      <c r="F15" s="341">
        <f t="shared" si="5"/>
        <v>1084</v>
      </c>
      <c r="G15" s="342">
        <v>684</v>
      </c>
      <c r="H15" s="341">
        <v>400</v>
      </c>
      <c r="O15" s="328">
        <f t="shared" si="6"/>
        <v>48.160000000000004</v>
      </c>
      <c r="P15" s="342">
        <v>1200</v>
      </c>
      <c r="Q15" s="348">
        <f t="shared" si="7"/>
        <v>26.906976744186046</v>
      </c>
      <c r="S15" s="349">
        <v>-95.497382198952906</v>
      </c>
    </row>
    <row r="16" spans="1:21" ht="14.45" customHeight="1">
      <c r="A16" s="337" t="s">
        <v>104</v>
      </c>
      <c r="B16" s="342"/>
      <c r="C16" s="342"/>
      <c r="D16" s="340"/>
      <c r="F16" s="341">
        <f t="shared" si="5"/>
        <v>0</v>
      </c>
      <c r="G16" s="342">
        <v>0</v>
      </c>
      <c r="H16" s="341"/>
      <c r="O16" s="328">
        <f t="shared" si="6"/>
        <v>0</v>
      </c>
      <c r="P16" s="342"/>
      <c r="Q16" s="348" t="e">
        <f t="shared" si="7"/>
        <v>#DIV/0!</v>
      </c>
      <c r="S16" s="349"/>
    </row>
    <row r="17" spans="1:19" ht="14.45" customHeight="1">
      <c r="A17" s="337" t="s">
        <v>105</v>
      </c>
      <c r="B17" s="342">
        <v>1495</v>
      </c>
      <c r="C17" s="342">
        <v>2128</v>
      </c>
      <c r="D17" s="340">
        <f t="shared" ref="D17" si="11">+(C17-B17)/B17*100</f>
        <v>42.341137123745817</v>
      </c>
      <c r="F17" s="341">
        <f t="shared" si="5"/>
        <v>1938</v>
      </c>
      <c r="G17" s="342">
        <v>1938</v>
      </c>
      <c r="H17" s="341"/>
      <c r="O17" s="328">
        <f t="shared" si="6"/>
        <v>1674.4</v>
      </c>
      <c r="P17" s="342">
        <v>2128</v>
      </c>
      <c r="Q17" s="348">
        <f t="shared" si="7"/>
        <v>0.42341137123745809</v>
      </c>
      <c r="S17" s="349">
        <v>-8.1130915795943395</v>
      </c>
    </row>
    <row r="18" spans="1:19" ht="14.45" customHeight="1">
      <c r="A18" s="337" t="s">
        <v>106</v>
      </c>
      <c r="B18" s="342">
        <v>26874</v>
      </c>
      <c r="C18" s="342">
        <v>37063</v>
      </c>
      <c r="D18" s="340">
        <f t="shared" ref="D18:D23" si="12">+(C18-B18)/B18*100</f>
        <v>37.913968891865743</v>
      </c>
      <c r="F18" s="341">
        <f t="shared" si="5"/>
        <v>29974</v>
      </c>
      <c r="G18" s="342">
        <v>30574</v>
      </c>
      <c r="H18" s="341">
        <v>-600</v>
      </c>
      <c r="O18" s="328">
        <f t="shared" si="6"/>
        <v>30098.880000000005</v>
      </c>
      <c r="P18" s="342">
        <v>37063</v>
      </c>
      <c r="Q18" s="348">
        <f t="shared" si="7"/>
        <v>0.37913968891865735</v>
      </c>
      <c r="S18" s="349">
        <v>8.6784212229052091</v>
      </c>
    </row>
    <row r="19" spans="1:19" ht="14.45" customHeight="1">
      <c r="A19" s="343" t="s">
        <v>163</v>
      </c>
      <c r="B19" s="342">
        <v>418</v>
      </c>
      <c r="C19" s="339">
        <v>500</v>
      </c>
      <c r="D19" s="340">
        <f t="shared" si="12"/>
        <v>19.617224880382775</v>
      </c>
      <c r="F19" s="341"/>
      <c r="G19" s="339"/>
      <c r="H19" s="341"/>
      <c r="O19" s="328">
        <f t="shared" si="6"/>
        <v>468.16</v>
      </c>
      <c r="P19" s="339">
        <v>500</v>
      </c>
      <c r="Q19" s="348">
        <f t="shared" si="7"/>
        <v>0.19617224880382778</v>
      </c>
      <c r="S19" s="349"/>
    </row>
    <row r="20" spans="1:19" ht="14.45" customHeight="1">
      <c r="A20" s="337" t="s">
        <v>108</v>
      </c>
      <c r="B20" s="342">
        <f t="shared" ref="B20:C20" si="13">SUM(B21:B28)</f>
        <v>70173</v>
      </c>
      <c r="C20" s="339">
        <f t="shared" si="13"/>
        <v>70166</v>
      </c>
      <c r="D20" s="340">
        <f t="shared" si="12"/>
        <v>-9.9753466432958553E-3</v>
      </c>
      <c r="F20" s="341"/>
      <c r="G20" s="339">
        <f>SUM(G21:G28)</f>
        <v>70166</v>
      </c>
      <c r="H20" s="341"/>
      <c r="O20" s="328">
        <f t="shared" si="6"/>
        <v>78593.760000000009</v>
      </c>
      <c r="P20" s="339">
        <f>SUM(P21:P28)</f>
        <v>70166</v>
      </c>
      <c r="Q20" s="348">
        <f t="shared" si="7"/>
        <v>-9.9753466432983551E-5</v>
      </c>
      <c r="S20" s="349">
        <v>-2.9660665394507602</v>
      </c>
    </row>
    <row r="21" spans="1:19" ht="14.45" customHeight="1">
      <c r="A21" s="337" t="s">
        <v>109</v>
      </c>
      <c r="B21" s="342">
        <v>7321</v>
      </c>
      <c r="C21" s="342">
        <v>7128</v>
      </c>
      <c r="D21" s="340">
        <f t="shared" si="12"/>
        <v>-2.6362518781587219</v>
      </c>
      <c r="F21" s="341"/>
      <c r="G21" s="342">
        <v>8397</v>
      </c>
      <c r="H21" s="341"/>
      <c r="O21" s="328">
        <f t="shared" si="6"/>
        <v>8199.52</v>
      </c>
      <c r="P21" s="342">
        <v>7128</v>
      </c>
      <c r="Q21" s="348">
        <f t="shared" si="7"/>
        <v>-2.6362518781587241E-2</v>
      </c>
      <c r="S21" s="349">
        <v>-7.4111546730744902</v>
      </c>
    </row>
    <row r="22" spans="1:19" ht="14.45" customHeight="1">
      <c r="A22" s="337" t="s">
        <v>110</v>
      </c>
      <c r="B22" s="342">
        <v>14902</v>
      </c>
      <c r="C22" s="342">
        <v>17318</v>
      </c>
      <c r="D22" s="340">
        <f t="shared" si="12"/>
        <v>16.212588914239699</v>
      </c>
      <c r="F22" s="341"/>
      <c r="G22" s="342">
        <v>14424</v>
      </c>
      <c r="H22" s="341"/>
      <c r="O22" s="328">
        <f t="shared" si="6"/>
        <v>16690.240000000002</v>
      </c>
      <c r="P22" s="342">
        <v>17318</v>
      </c>
      <c r="Q22" s="348">
        <f t="shared" si="7"/>
        <v>0.1621258891423969</v>
      </c>
      <c r="S22" s="349">
        <v>2.7511549334620402</v>
      </c>
    </row>
    <row r="23" spans="1:19" ht="14.45" customHeight="1">
      <c r="A23" s="337" t="s">
        <v>111</v>
      </c>
      <c r="B23" s="342">
        <v>24010</v>
      </c>
      <c r="C23" s="342">
        <v>27208</v>
      </c>
      <c r="D23" s="340">
        <f t="shared" si="12"/>
        <v>13.31945022907122</v>
      </c>
      <c r="F23" s="341"/>
      <c r="G23" s="342">
        <v>20761</v>
      </c>
      <c r="H23" s="341"/>
      <c r="O23" s="328">
        <f t="shared" si="6"/>
        <v>26891.200000000004</v>
      </c>
      <c r="P23" s="342">
        <v>27208</v>
      </c>
      <c r="Q23" s="348">
        <f t="shared" si="7"/>
        <v>0.13319450229071217</v>
      </c>
      <c r="S23" s="349">
        <v>28.857403531369101</v>
      </c>
    </row>
    <row r="24" spans="1:19" ht="14.45" customHeight="1">
      <c r="A24" s="337" t="s">
        <v>112</v>
      </c>
      <c r="B24" s="342"/>
      <c r="C24" s="342"/>
      <c r="D24" s="340"/>
      <c r="F24" s="341"/>
      <c r="G24" s="342"/>
      <c r="H24" s="341"/>
      <c r="O24" s="328">
        <f t="shared" si="6"/>
        <v>0</v>
      </c>
      <c r="P24" s="342"/>
      <c r="Q24" s="348" t="e">
        <f t="shared" si="7"/>
        <v>#DIV/0!</v>
      </c>
      <c r="S24" s="349"/>
    </row>
    <row r="25" spans="1:19" ht="14.45" customHeight="1">
      <c r="A25" s="337" t="s">
        <v>113</v>
      </c>
      <c r="B25" s="342">
        <v>12211</v>
      </c>
      <c r="C25" s="342">
        <v>8803</v>
      </c>
      <c r="D25" s="340">
        <f t="shared" ref="D25" si="14">+(C25-B25)/B25*100</f>
        <v>-27.909262140692821</v>
      </c>
      <c r="F25" s="341"/>
      <c r="G25" s="342">
        <v>15184</v>
      </c>
      <c r="H25" s="341"/>
      <c r="O25" s="328">
        <f t="shared" si="6"/>
        <v>13676.320000000002</v>
      </c>
      <c r="P25" s="342">
        <v>8803</v>
      </c>
      <c r="Q25" s="348">
        <f t="shared" si="7"/>
        <v>-0.27909262140692814</v>
      </c>
      <c r="S25" s="349">
        <v>-35.680800632077997</v>
      </c>
    </row>
    <row r="26" spans="1:19" ht="14.45" customHeight="1">
      <c r="A26" s="337" t="s">
        <v>114</v>
      </c>
      <c r="B26" s="342">
        <v>8</v>
      </c>
      <c r="C26" s="342">
        <v>200</v>
      </c>
      <c r="D26" s="340"/>
      <c r="F26" s="341"/>
      <c r="G26" s="342"/>
      <c r="H26" s="341"/>
      <c r="O26" s="328">
        <f t="shared" si="6"/>
        <v>8.9600000000000009</v>
      </c>
      <c r="P26" s="342">
        <v>200</v>
      </c>
      <c r="Q26" s="348">
        <f t="shared" si="7"/>
        <v>24</v>
      </c>
      <c r="S26" s="349">
        <v>-95.092024539877301</v>
      </c>
    </row>
    <row r="27" spans="1:19" ht="14.45" customHeight="1">
      <c r="A27" s="337" t="s">
        <v>115</v>
      </c>
      <c r="B27" s="342">
        <v>11721</v>
      </c>
      <c r="C27" s="342">
        <v>9206</v>
      </c>
      <c r="D27" s="340">
        <f t="shared" ref="D27" si="15">+(C27-B27)/B27*100</f>
        <v>-21.457213548332057</v>
      </c>
      <c r="F27" s="341"/>
      <c r="G27" s="342">
        <v>9100</v>
      </c>
      <c r="H27" s="341"/>
      <c r="J27" s="328">
        <v>249354</v>
      </c>
      <c r="K27" s="328">
        <f>+J27*1.05</f>
        <v>261821.7</v>
      </c>
      <c r="L27" s="328">
        <f t="shared" ref="L27:L29" si="16">+K27/J27-1</f>
        <v>5.0000000000000044E-2</v>
      </c>
      <c r="M27" s="328">
        <f>+J27*1.07</f>
        <v>266808.78000000003</v>
      </c>
      <c r="N27" s="328">
        <f t="shared" ref="N27:N29" si="17">+M27/J27-1</f>
        <v>7.0000000000000062E-2</v>
      </c>
      <c r="O27" s="328">
        <f t="shared" si="6"/>
        <v>13127.52</v>
      </c>
      <c r="P27" s="342">
        <v>9206</v>
      </c>
      <c r="Q27" s="348">
        <f t="shared" si="7"/>
        <v>-0.21457213548332055</v>
      </c>
      <c r="S27" s="349">
        <v>25.546272493573301</v>
      </c>
    </row>
    <row r="28" spans="1:19" ht="14.45" customHeight="1">
      <c r="A28" s="337" t="s">
        <v>116</v>
      </c>
      <c r="B28" s="342"/>
      <c r="C28" s="342">
        <v>303</v>
      </c>
      <c r="D28" s="340"/>
      <c r="F28" s="341"/>
      <c r="G28" s="342">
        <v>2300</v>
      </c>
      <c r="H28" s="341"/>
      <c r="J28" s="328">
        <v>71245</v>
      </c>
      <c r="K28" s="328">
        <f>+J28</f>
        <v>71245</v>
      </c>
      <c r="L28" s="328">
        <f t="shared" si="16"/>
        <v>0</v>
      </c>
      <c r="M28" s="328">
        <f>+K28</f>
        <v>71245</v>
      </c>
      <c r="N28" s="328">
        <f t="shared" si="17"/>
        <v>0</v>
      </c>
      <c r="O28" s="328">
        <f t="shared" si="6"/>
        <v>0</v>
      </c>
      <c r="P28" s="342">
        <v>303</v>
      </c>
      <c r="Q28" s="348" t="e">
        <f t="shared" si="7"/>
        <v>#DIV/0!</v>
      </c>
      <c r="S28" s="349">
        <v>-100</v>
      </c>
    </row>
    <row r="29" spans="1:19" ht="14.45" customHeight="1">
      <c r="A29" s="344" t="s">
        <v>275</v>
      </c>
      <c r="B29" s="338">
        <f t="shared" ref="B29:C29" si="18">+B4+B20</f>
        <v>142608</v>
      </c>
      <c r="C29" s="339">
        <f t="shared" si="18"/>
        <v>155627</v>
      </c>
      <c r="D29" s="340">
        <f t="shared" ref="D29:D31" si="19">+(C29-B29)/B29*100</f>
        <v>9.129221362055425</v>
      </c>
      <c r="F29" s="341"/>
      <c r="G29" s="339">
        <f>+G4+G20</f>
        <v>149429</v>
      </c>
      <c r="H29" s="341"/>
      <c r="J29" s="328">
        <f t="shared" ref="J29:K29" si="20">+J27-J28</f>
        <v>178109</v>
      </c>
      <c r="K29" s="328">
        <f t="shared" si="20"/>
        <v>190576.7</v>
      </c>
      <c r="L29" s="328">
        <f t="shared" si="16"/>
        <v>7.0000393017758844E-2</v>
      </c>
      <c r="M29" s="328">
        <f>+M27-M28</f>
        <v>195563.78000000003</v>
      </c>
      <c r="N29" s="328">
        <f t="shared" si="17"/>
        <v>9.8000550224862426E-2</v>
      </c>
      <c r="O29" s="328">
        <f t="shared" si="6"/>
        <v>159720.96000000002</v>
      </c>
      <c r="P29" s="339">
        <f>+P4+P20</f>
        <v>155627</v>
      </c>
      <c r="Q29" s="348">
        <f t="shared" si="7"/>
        <v>9.1292213620554286E-2</v>
      </c>
      <c r="S29" s="349">
        <v>1.59218653159796</v>
      </c>
    </row>
    <row r="30" spans="1:19" ht="14.45" customHeight="1">
      <c r="A30" s="343" t="s">
        <v>118</v>
      </c>
      <c r="B30" s="338">
        <f t="shared" ref="B30:C30" si="21">SUM(B31:B34)</f>
        <v>95974</v>
      </c>
      <c r="C30" s="339">
        <f t="shared" si="21"/>
        <v>97644</v>
      </c>
      <c r="D30" s="340">
        <f t="shared" si="19"/>
        <v>1.7400545981203244</v>
      </c>
      <c r="F30" s="341"/>
      <c r="G30" s="339">
        <f>SUM(G31:G34)</f>
        <v>98366</v>
      </c>
      <c r="H30" s="341"/>
      <c r="O30" s="328">
        <f t="shared" si="6"/>
        <v>107490.88</v>
      </c>
      <c r="P30" s="347">
        <f>SUM(P31:P34)</f>
        <v>97643.857142857145</v>
      </c>
      <c r="Q30" s="348">
        <f t="shared" si="7"/>
        <v>1.7399057482830216E-2</v>
      </c>
      <c r="S30" s="349">
        <v>4.7728215541145396</v>
      </c>
    </row>
    <row r="31" spans="1:19" ht="14.45" customHeight="1">
      <c r="A31" s="337" t="s">
        <v>119</v>
      </c>
      <c r="B31" s="342">
        <v>22278</v>
      </c>
      <c r="C31" s="339">
        <v>24000</v>
      </c>
      <c r="D31" s="340">
        <f t="shared" si="19"/>
        <v>7.7295987072448158</v>
      </c>
      <c r="F31" s="341"/>
      <c r="G31" s="339">
        <v>27117</v>
      </c>
      <c r="H31" s="341"/>
      <c r="O31" s="328">
        <f t="shared" si="6"/>
        <v>24951.360000000001</v>
      </c>
      <c r="P31" s="347">
        <f>+P5/0.375*0.5</f>
        <v>24000</v>
      </c>
      <c r="Q31" s="348">
        <f t="shared" si="7"/>
        <v>7.7295987072448114E-2</v>
      </c>
      <c r="S31" s="349">
        <v>-2.3151802157326999</v>
      </c>
    </row>
    <row r="32" spans="1:19" ht="14.45" customHeight="1">
      <c r="A32" s="343" t="s">
        <v>120</v>
      </c>
      <c r="B32" s="345">
        <v>1071</v>
      </c>
      <c r="C32" s="339"/>
      <c r="D32" s="340"/>
      <c r="F32" s="341"/>
      <c r="G32" s="339"/>
      <c r="H32" s="341"/>
      <c r="O32" s="328">
        <f t="shared" si="6"/>
        <v>1199.5200000000002</v>
      </c>
      <c r="P32" s="347"/>
      <c r="Q32" s="348">
        <f t="shared" si="7"/>
        <v>-1</v>
      </c>
      <c r="S32" s="349">
        <v>530</v>
      </c>
    </row>
    <row r="33" spans="1:19" ht="14.45" customHeight="1">
      <c r="A33" s="337" t="s">
        <v>121</v>
      </c>
      <c r="B33" s="345">
        <v>57403</v>
      </c>
      <c r="C33" s="339">
        <v>58001</v>
      </c>
      <c r="D33" s="340">
        <f t="shared" ref="D33:D36" si="22">+(C33-B33)/B33*100</f>
        <v>1.0417573994390537</v>
      </c>
      <c r="F33" s="341"/>
      <c r="G33" s="339">
        <f>55185-42</f>
        <v>55143</v>
      </c>
      <c r="H33" s="341"/>
      <c r="I33" s="328">
        <f>+C14/0.7*0.3</f>
        <v>780</v>
      </c>
      <c r="O33" s="328">
        <f t="shared" si="6"/>
        <v>64291.360000000008</v>
      </c>
      <c r="P33" s="347">
        <f>58001</f>
        <v>58001</v>
      </c>
      <c r="Q33" s="348">
        <f t="shared" si="7"/>
        <v>1.0417573994390583E-2</v>
      </c>
      <c r="S33" s="349">
        <v>6.0093445862342802</v>
      </c>
    </row>
    <row r="34" spans="1:19" ht="14.45" customHeight="1">
      <c r="A34" s="337" t="s">
        <v>122</v>
      </c>
      <c r="B34" s="345">
        <v>15222</v>
      </c>
      <c r="C34" s="339">
        <v>15643</v>
      </c>
      <c r="D34" s="340">
        <f t="shared" si="22"/>
        <v>2.7657338063329391</v>
      </c>
      <c r="F34" s="341"/>
      <c r="G34" s="339">
        <v>16106</v>
      </c>
      <c r="H34" s="341"/>
      <c r="O34" s="328">
        <f t="shared" si="6"/>
        <v>17048.640000000003</v>
      </c>
      <c r="P34" s="347">
        <f>+T9/0.28*0.6</f>
        <v>15642.857142857141</v>
      </c>
      <c r="Q34" s="348">
        <f t="shared" si="7"/>
        <v>2.7647953150515159E-2</v>
      </c>
      <c r="S34" s="349">
        <v>5.1460938039649102</v>
      </c>
    </row>
    <row r="35" spans="1:19" ht="14.45" customHeight="1">
      <c r="A35" s="343" t="s">
        <v>123</v>
      </c>
      <c r="B35" s="338">
        <f>SUM(B36:B41)</f>
        <v>9701</v>
      </c>
      <c r="C35" s="339">
        <f>SUM(C36:C40)</f>
        <v>9909</v>
      </c>
      <c r="D35" s="340">
        <f t="shared" si="22"/>
        <v>2.1441088547572416</v>
      </c>
      <c r="F35" s="341"/>
      <c r="G35" s="339">
        <f>SUM(G36:G40)</f>
        <v>10705</v>
      </c>
      <c r="H35" s="341"/>
      <c r="O35" s="328">
        <f t="shared" si="6"/>
        <v>10865.12</v>
      </c>
      <c r="P35" s="347">
        <f>SUM(P36:P40)</f>
        <v>9908.5714285714275</v>
      </c>
      <c r="Q35" s="348">
        <f t="shared" si="7"/>
        <v>2.1396910480510067E-2</v>
      </c>
      <c r="S35" s="349">
        <v>4.6719896417781603</v>
      </c>
    </row>
    <row r="36" spans="1:19" ht="14.45" customHeight="1">
      <c r="A36" s="337" t="s">
        <v>124</v>
      </c>
      <c r="B36" s="345">
        <v>5570</v>
      </c>
      <c r="C36" s="339">
        <v>6000</v>
      </c>
      <c r="D36" s="340">
        <f t="shared" si="22"/>
        <v>7.719928186714542</v>
      </c>
      <c r="F36" s="341"/>
      <c r="G36" s="339">
        <v>6779</v>
      </c>
      <c r="H36" s="341"/>
      <c r="O36" s="328">
        <f t="shared" si="6"/>
        <v>6238.4000000000005</v>
      </c>
      <c r="P36" s="347">
        <f>+P5/0.375*0.125</f>
        <v>6000</v>
      </c>
      <c r="Q36" s="348">
        <f t="shared" si="7"/>
        <v>7.719928186714542E-2</v>
      </c>
      <c r="S36" s="349">
        <v>-2.3149772009821099</v>
      </c>
    </row>
    <row r="37" spans="1:19" ht="14.45" customHeight="1">
      <c r="A37" s="343" t="s">
        <v>125</v>
      </c>
      <c r="B37" s="345">
        <v>268</v>
      </c>
      <c r="C37" s="339"/>
      <c r="D37" s="340"/>
      <c r="F37" s="341"/>
      <c r="G37" s="339"/>
      <c r="H37" s="341"/>
      <c r="O37" s="328">
        <f t="shared" si="6"/>
        <v>300.16000000000003</v>
      </c>
      <c r="P37" s="347"/>
      <c r="Q37" s="348">
        <f t="shared" si="7"/>
        <v>-1</v>
      </c>
      <c r="S37" s="349">
        <v>523.25581395348797</v>
      </c>
    </row>
    <row r="38" spans="1:19" ht="14.45" customHeight="1">
      <c r="A38" s="337" t="s">
        <v>126</v>
      </c>
      <c r="B38" s="345">
        <v>3044</v>
      </c>
      <c r="C38" s="339">
        <v>3129</v>
      </c>
      <c r="D38" s="340">
        <f t="shared" ref="D38" si="23">+(C38-B38)/B38*100</f>
        <v>2.7923784494086727</v>
      </c>
      <c r="F38" s="341"/>
      <c r="G38" s="339">
        <v>3221</v>
      </c>
      <c r="H38" s="341"/>
      <c r="O38" s="328">
        <f t="shared" si="6"/>
        <v>3409.28</v>
      </c>
      <c r="P38" s="347">
        <f>+T9/0.28*0.12</f>
        <v>3128.571428571428</v>
      </c>
      <c r="Q38" s="348">
        <f t="shared" si="7"/>
        <v>2.7782992303360121E-2</v>
      </c>
      <c r="S38" s="349">
        <v>5.1468048359240104</v>
      </c>
    </row>
    <row r="39" spans="1:19" ht="14.45" customHeight="1">
      <c r="A39" s="337" t="s">
        <v>127</v>
      </c>
      <c r="B39" s="345"/>
      <c r="C39" s="339"/>
      <c r="D39" s="340"/>
      <c r="F39" s="341"/>
      <c r="G39" s="339"/>
      <c r="H39" s="341"/>
      <c r="O39" s="328">
        <f t="shared" si="6"/>
        <v>0</v>
      </c>
      <c r="P39" s="347"/>
      <c r="Q39" s="348" t="e">
        <f t="shared" si="7"/>
        <v>#DIV/0!</v>
      </c>
      <c r="S39" s="349"/>
    </row>
    <row r="40" spans="1:19" ht="14.45" customHeight="1">
      <c r="A40" s="337" t="s">
        <v>128</v>
      </c>
      <c r="B40" s="345">
        <v>640</v>
      </c>
      <c r="C40" s="339">
        <v>780</v>
      </c>
      <c r="D40" s="340">
        <f t="shared" ref="D40:D42" si="24">+(C40-B40)/B40*100</f>
        <v>21.875</v>
      </c>
      <c r="F40" s="341"/>
      <c r="G40" s="339">
        <v>705</v>
      </c>
      <c r="H40" s="341"/>
      <c r="O40" s="328">
        <f t="shared" si="6"/>
        <v>716.80000000000007</v>
      </c>
      <c r="P40" s="347">
        <f>+P14/0.7*0.3</f>
        <v>780</v>
      </c>
      <c r="Q40" s="348">
        <f t="shared" si="7"/>
        <v>0.21875</v>
      </c>
      <c r="S40" s="349">
        <v>1.9108280254777099</v>
      </c>
    </row>
    <row r="41" spans="1:19" ht="14.45" customHeight="1">
      <c r="A41" s="346" t="s">
        <v>129</v>
      </c>
      <c r="B41" s="345">
        <v>179</v>
      </c>
      <c r="C41" s="339">
        <v>214</v>
      </c>
      <c r="D41" s="340">
        <f t="shared" si="24"/>
        <v>19.553072625698324</v>
      </c>
      <c r="F41" s="341"/>
      <c r="G41" s="339"/>
      <c r="H41" s="341"/>
      <c r="O41" s="328">
        <f t="shared" si="6"/>
        <v>200.48000000000002</v>
      </c>
      <c r="P41" s="347">
        <f>+P19/0.7*0.3</f>
        <v>214.28571428571431</v>
      </c>
      <c r="Q41" s="348">
        <f t="shared" si="7"/>
        <v>0.19712689545091799</v>
      </c>
      <c r="S41" s="349"/>
    </row>
    <row r="42" spans="1:19" ht="21.75" customHeight="1">
      <c r="A42" s="344" t="s">
        <v>278</v>
      </c>
      <c r="B42" s="338">
        <f t="shared" ref="B42:C42" si="25">+B29+B30+B35</f>
        <v>248283</v>
      </c>
      <c r="C42" s="339">
        <f t="shared" si="25"/>
        <v>263180</v>
      </c>
      <c r="D42" s="340">
        <f t="shared" si="24"/>
        <v>6.0000080553239652</v>
      </c>
      <c r="F42" s="341"/>
      <c r="G42" s="339">
        <f>+G29+G30+G35</f>
        <v>258500</v>
      </c>
      <c r="H42" s="341"/>
      <c r="I42" s="328">
        <f>+C40-362</f>
        <v>418</v>
      </c>
      <c r="O42" s="328">
        <f t="shared" si="6"/>
        <v>278076.96000000002</v>
      </c>
      <c r="P42" s="347">
        <f>+P29+P30+P35</f>
        <v>263179.42857142858</v>
      </c>
      <c r="Q42" s="348">
        <f t="shared" si="7"/>
        <v>5.9997779032106902E-2</v>
      </c>
      <c r="S42" s="349">
        <v>2.9182193887491001</v>
      </c>
    </row>
    <row r="43" spans="1:19" ht="51.95" customHeight="1">
      <c r="A43" s="544" t="s">
        <v>279</v>
      </c>
      <c r="B43" s="546"/>
      <c r="C43" s="546"/>
      <c r="D43" s="546"/>
      <c r="G43" s="328">
        <f>+G40-C40</f>
        <v>-75</v>
      </c>
    </row>
  </sheetData>
  <mergeCells count="2">
    <mergeCell ref="A1:D1"/>
    <mergeCell ref="A43:D43"/>
  </mergeCells>
  <phoneticPr fontId="2" type="noConversion"/>
  <printOptions horizontalCentered="1"/>
  <pageMargins left="0.79027777777777797" right="0.79027777777777797" top="0.97916666666666696" bottom="0.97916666666666696" header="0.2" footer="0.79027777777777797"/>
  <pageSetup paperSize="9" firstPageNumber="14" orientation="portrait" useFirstPageNumber="1" verticalDpi="180"/>
  <headerFooter alignWithMargins="0">
    <oddFooter>&amp;C第 &amp;P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HZ40"/>
  <sheetViews>
    <sheetView showZeros="0" workbookViewId="0">
      <selection activeCell="C14" sqref="C14"/>
    </sheetView>
  </sheetViews>
  <sheetFormatPr defaultColWidth="9" defaultRowHeight="15.75"/>
  <cols>
    <col min="1" max="1" width="32.25" style="295" customWidth="1"/>
    <col min="2" max="2" width="14.375" style="295" customWidth="1"/>
    <col min="3" max="3" width="17.125" style="296" customWidth="1"/>
    <col min="4" max="4" width="13.75" style="296" customWidth="1"/>
    <col min="5" max="5" width="9.25" style="295" hidden="1" customWidth="1"/>
    <col min="6" max="6" width="9" style="295" hidden="1" customWidth="1"/>
    <col min="7" max="7" width="9" style="297" hidden="1" customWidth="1"/>
    <col min="8" max="8" width="9" style="295" hidden="1" customWidth="1"/>
    <col min="9" max="9" width="11.125" style="295" hidden="1" customWidth="1"/>
    <col min="10" max="17" width="9" style="295" hidden="1" customWidth="1"/>
    <col min="18" max="234" width="9" style="295"/>
  </cols>
  <sheetData>
    <row r="1" spans="1:234" s="292" customFormat="1" ht="29.1" customHeight="1">
      <c r="A1" s="298" t="s">
        <v>30</v>
      </c>
      <c r="B1" s="210"/>
      <c r="C1" s="299"/>
      <c r="D1" s="299"/>
      <c r="G1" s="300"/>
    </row>
    <row r="2" spans="1:234" ht="18.75" customHeight="1">
      <c r="A2" s="293"/>
      <c r="B2" s="293"/>
      <c r="C2" s="294"/>
      <c r="D2" s="301" t="s">
        <v>340</v>
      </c>
    </row>
    <row r="3" spans="1:234" ht="29.25" customHeight="1">
      <c r="A3" s="196" t="s">
        <v>280</v>
      </c>
      <c r="B3" s="302" t="s">
        <v>341</v>
      </c>
      <c r="C3" s="303" t="s">
        <v>342</v>
      </c>
      <c r="D3" s="303" t="s">
        <v>283</v>
      </c>
      <c r="J3" s="322" t="s">
        <v>343</v>
      </c>
      <c r="K3" s="322" t="s">
        <v>344</v>
      </c>
    </row>
    <row r="4" spans="1:234" s="293" customFormat="1" ht="21" customHeight="1">
      <c r="A4" s="304" t="s">
        <v>137</v>
      </c>
      <c r="B4" s="305">
        <v>57814</v>
      </c>
      <c r="C4" s="306">
        <v>50320</v>
      </c>
      <c r="D4" s="307">
        <f t="shared" ref="D4" si="0">+(C4-B4)/B4*100</f>
        <v>-12.962258276542013</v>
      </c>
      <c r="E4" s="293">
        <f>+B4*1.08</f>
        <v>62439.12</v>
      </c>
      <c r="F4" s="293">
        <v>59994</v>
      </c>
      <c r="G4" s="308">
        <v>59531</v>
      </c>
      <c r="I4" s="323">
        <f>+C4*100/G4-100</f>
        <v>-15.472610908602235</v>
      </c>
      <c r="J4" s="324">
        <v>1832</v>
      </c>
      <c r="K4" s="293">
        <v>2017</v>
      </c>
      <c r="L4" s="293">
        <f>+B4-K4</f>
        <v>55797</v>
      </c>
      <c r="N4" s="308"/>
      <c r="O4" s="293">
        <f>+B4-N4</f>
        <v>57814</v>
      </c>
      <c r="Q4" s="293">
        <v>57814</v>
      </c>
    </row>
    <row r="5" spans="1:234" s="293" customFormat="1" ht="21" customHeight="1">
      <c r="A5" s="304" t="s">
        <v>138</v>
      </c>
      <c r="B5" s="305">
        <v>0</v>
      </c>
      <c r="C5" s="306"/>
      <c r="D5" s="307"/>
      <c r="E5" s="293">
        <f t="shared" ref="E5" si="1">+B5*1.08</f>
        <v>0</v>
      </c>
      <c r="F5" s="293">
        <v>0</v>
      </c>
      <c r="G5" s="308"/>
      <c r="I5" s="323" t="e">
        <f t="shared" ref="I5" si="2">+C5*100/G5-100</f>
        <v>#DIV/0!</v>
      </c>
      <c r="J5" s="324"/>
      <c r="L5" s="293">
        <f t="shared" ref="L5" si="3">+B5-K5</f>
        <v>0</v>
      </c>
      <c r="N5" s="308"/>
      <c r="O5" s="293">
        <f t="shared" ref="O5" si="4">+B5-N5</f>
        <v>0</v>
      </c>
    </row>
    <row r="6" spans="1:234" s="293" customFormat="1" ht="21" customHeight="1">
      <c r="A6" s="304" t="s">
        <v>139</v>
      </c>
      <c r="B6" s="305">
        <v>1216</v>
      </c>
      <c r="C6" s="306">
        <v>1220</v>
      </c>
      <c r="D6" s="307">
        <f t="shared" ref="D6" si="5">+(C6-B6)/B6*100</f>
        <v>0.3289473684210526</v>
      </c>
      <c r="E6" s="293">
        <f t="shared" ref="E6:E28" si="6">+B6*1.08</f>
        <v>1313.2800000000002</v>
      </c>
      <c r="F6" s="293">
        <v>2250</v>
      </c>
      <c r="G6" s="308">
        <v>2294</v>
      </c>
      <c r="I6" s="323">
        <f t="shared" ref="I6:I27" si="7">+C6*100/G6-100</f>
        <v>-46.817785527462945</v>
      </c>
      <c r="J6" s="324"/>
      <c r="K6" s="293">
        <v>50</v>
      </c>
      <c r="L6" s="293">
        <f t="shared" ref="L6:L27" si="8">+B6-K6</f>
        <v>1166</v>
      </c>
      <c r="N6" s="308"/>
      <c r="O6" s="293">
        <f t="shared" ref="O6:O26" si="9">+B6-N6</f>
        <v>1216</v>
      </c>
      <c r="Q6" s="293">
        <v>1216</v>
      </c>
    </row>
    <row r="7" spans="1:234" s="293" customFormat="1" ht="21" customHeight="1">
      <c r="A7" s="304" t="s">
        <v>140</v>
      </c>
      <c r="B7" s="305">
        <v>79345</v>
      </c>
      <c r="C7" s="306">
        <v>80500</v>
      </c>
      <c r="D7" s="307">
        <f t="shared" ref="D7:D19" si="10">+(C7-B7)/B7*100</f>
        <v>1.4556682840758712</v>
      </c>
      <c r="E7" s="293">
        <f t="shared" si="6"/>
        <v>85692.6</v>
      </c>
      <c r="F7" s="293">
        <v>68305</v>
      </c>
      <c r="G7" s="308">
        <v>87387</v>
      </c>
      <c r="I7" s="323">
        <f t="shared" si="7"/>
        <v>-7.8810349365466266</v>
      </c>
      <c r="J7" s="324">
        <v>3841</v>
      </c>
      <c r="K7" s="293">
        <v>1205</v>
      </c>
      <c r="L7" s="293">
        <f t="shared" si="8"/>
        <v>78140</v>
      </c>
      <c r="N7" s="308">
        <v>3841</v>
      </c>
      <c r="O7" s="293">
        <f t="shared" si="9"/>
        <v>75504</v>
      </c>
      <c r="Q7" s="293">
        <v>83186</v>
      </c>
    </row>
    <row r="8" spans="1:234" s="293" customFormat="1" ht="21" customHeight="1">
      <c r="A8" s="304" t="s">
        <v>141</v>
      </c>
      <c r="B8" s="305">
        <v>36621</v>
      </c>
      <c r="C8" s="306">
        <v>38025</v>
      </c>
      <c r="D8" s="307">
        <f t="shared" si="10"/>
        <v>3.8338658146964857</v>
      </c>
      <c r="E8" s="293">
        <f t="shared" si="6"/>
        <v>39550.68</v>
      </c>
      <c r="F8" s="293">
        <v>35739</v>
      </c>
      <c r="G8" s="308">
        <v>38325</v>
      </c>
      <c r="I8" s="323">
        <f t="shared" si="7"/>
        <v>-0.78277886497065197</v>
      </c>
      <c r="J8" s="324">
        <v>6372</v>
      </c>
      <c r="K8" s="293">
        <v>10241</v>
      </c>
      <c r="L8" s="293">
        <f t="shared" si="8"/>
        <v>26380</v>
      </c>
      <c r="N8" s="308">
        <v>6372</v>
      </c>
      <c r="O8" s="293">
        <f t="shared" si="9"/>
        <v>30249</v>
      </c>
      <c r="Q8" s="293">
        <v>42993</v>
      </c>
    </row>
    <row r="9" spans="1:234" s="293" customFormat="1" ht="21" customHeight="1">
      <c r="A9" s="304" t="s">
        <v>142</v>
      </c>
      <c r="B9" s="305">
        <v>4411</v>
      </c>
      <c r="C9" s="306">
        <v>4550</v>
      </c>
      <c r="D9" s="307">
        <f t="shared" si="10"/>
        <v>3.1512128768986623</v>
      </c>
      <c r="E9" s="293">
        <f t="shared" si="6"/>
        <v>4763.88</v>
      </c>
      <c r="F9" s="293">
        <v>4391</v>
      </c>
      <c r="G9" s="308">
        <v>3438</v>
      </c>
      <c r="I9" s="323">
        <f t="shared" si="7"/>
        <v>32.344386271087842</v>
      </c>
      <c r="J9" s="324">
        <v>287</v>
      </c>
      <c r="K9" s="293">
        <v>5041</v>
      </c>
      <c r="L9" s="293">
        <f t="shared" si="8"/>
        <v>-630</v>
      </c>
      <c r="N9" s="308">
        <v>287</v>
      </c>
      <c r="O9" s="293">
        <f t="shared" si="9"/>
        <v>4124</v>
      </c>
      <c r="Q9" s="293">
        <v>4698</v>
      </c>
    </row>
    <row r="10" spans="1:234" s="293" customFormat="1" ht="21" customHeight="1">
      <c r="A10" s="304" t="s">
        <v>143</v>
      </c>
      <c r="B10" s="305">
        <v>15326</v>
      </c>
      <c r="C10" s="306">
        <v>15700</v>
      </c>
      <c r="D10" s="307">
        <f t="shared" si="10"/>
        <v>2.4402975336030277</v>
      </c>
      <c r="E10" s="293">
        <f t="shared" si="6"/>
        <v>16552.080000000002</v>
      </c>
      <c r="F10" s="293">
        <v>15120</v>
      </c>
      <c r="G10" s="308">
        <v>12461</v>
      </c>
      <c r="I10" s="323">
        <f t="shared" si="7"/>
        <v>25.99309846721772</v>
      </c>
      <c r="J10" s="324">
        <v>987</v>
      </c>
      <c r="K10" s="293">
        <v>1515</v>
      </c>
      <c r="L10" s="293">
        <f t="shared" si="8"/>
        <v>13811</v>
      </c>
      <c r="N10" s="308">
        <v>987</v>
      </c>
      <c r="O10" s="293">
        <f t="shared" si="9"/>
        <v>14339</v>
      </c>
      <c r="Q10" s="293">
        <v>16313</v>
      </c>
    </row>
    <row r="11" spans="1:234" s="294" customFormat="1" ht="21" customHeight="1">
      <c r="A11" s="309" t="s">
        <v>144</v>
      </c>
      <c r="B11" s="305">
        <f>107015+3510</f>
        <v>110525</v>
      </c>
      <c r="C11" s="310">
        <f>108157+3500</f>
        <v>111657</v>
      </c>
      <c r="D11" s="307">
        <f t="shared" si="10"/>
        <v>1.0242026690793937</v>
      </c>
      <c r="E11" s="294">
        <f t="shared" si="6"/>
        <v>119367.00000000001</v>
      </c>
      <c r="F11" s="294">
        <v>100137</v>
      </c>
      <c r="G11" s="294">
        <v>98030</v>
      </c>
      <c r="H11" s="296"/>
      <c r="I11" s="325">
        <f t="shared" si="7"/>
        <v>13.900846679587886</v>
      </c>
      <c r="J11" s="294">
        <v>16184</v>
      </c>
      <c r="K11" s="294">
        <v>5591</v>
      </c>
      <c r="L11" s="294">
        <f t="shared" si="8"/>
        <v>104934</v>
      </c>
      <c r="M11" s="296"/>
      <c r="N11" s="294">
        <f>6184-239-4669+3510</f>
        <v>4786</v>
      </c>
      <c r="O11" s="294">
        <f t="shared" si="9"/>
        <v>105739</v>
      </c>
      <c r="P11" s="296"/>
      <c r="Q11" s="296">
        <v>108291</v>
      </c>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c r="CQ11" s="296"/>
      <c r="CR11" s="296"/>
      <c r="CS11" s="296"/>
      <c r="CT11" s="296"/>
      <c r="CU11" s="296"/>
      <c r="CV11" s="296"/>
      <c r="CW11" s="296"/>
      <c r="CX11" s="296"/>
      <c r="CY11" s="296"/>
      <c r="CZ11" s="296"/>
      <c r="DA11" s="296"/>
      <c r="DB11" s="296"/>
      <c r="DC11" s="296"/>
      <c r="DD11" s="296"/>
      <c r="DE11" s="296"/>
      <c r="DF11" s="296"/>
      <c r="DG11" s="296"/>
      <c r="DH11" s="296"/>
      <c r="DI11" s="296"/>
      <c r="DJ11" s="296"/>
      <c r="DK11" s="296"/>
      <c r="DL11" s="296"/>
      <c r="DM11" s="296"/>
      <c r="DN11" s="296"/>
      <c r="DO11" s="296"/>
      <c r="DP11" s="296"/>
      <c r="DQ11" s="296"/>
      <c r="DR11" s="296"/>
      <c r="DS11" s="296"/>
      <c r="DT11" s="296"/>
      <c r="DU11" s="296"/>
      <c r="DV11" s="296"/>
      <c r="DW11" s="296"/>
      <c r="DX11" s="296"/>
      <c r="DY11" s="296"/>
      <c r="DZ11" s="296"/>
      <c r="EA11" s="296"/>
      <c r="EB11" s="296"/>
      <c r="EC11" s="296"/>
      <c r="ED11" s="296"/>
      <c r="EE11" s="296"/>
      <c r="EF11" s="296"/>
      <c r="EG11" s="296"/>
      <c r="EH11" s="296"/>
      <c r="EI11" s="296"/>
      <c r="EJ11" s="296"/>
      <c r="EK11" s="296"/>
      <c r="EL11" s="296"/>
      <c r="EM11" s="296"/>
      <c r="EN11" s="296"/>
      <c r="EO11" s="296"/>
      <c r="EP11" s="296"/>
      <c r="EQ11" s="296"/>
      <c r="ER11" s="296"/>
      <c r="ES11" s="296"/>
      <c r="ET11" s="296"/>
      <c r="EU11" s="296"/>
      <c r="EV11" s="296"/>
      <c r="EW11" s="296"/>
      <c r="EX11" s="296"/>
      <c r="EY11" s="296"/>
      <c r="EZ11" s="296"/>
      <c r="FA11" s="296"/>
      <c r="FB11" s="296"/>
      <c r="FC11" s="296"/>
      <c r="FD11" s="296"/>
      <c r="FE11" s="296"/>
      <c r="FF11" s="296"/>
      <c r="FG11" s="296"/>
      <c r="FH11" s="296"/>
      <c r="FI11" s="296"/>
      <c r="FJ11" s="296"/>
      <c r="FK11" s="296"/>
      <c r="FL11" s="296"/>
      <c r="FM11" s="296"/>
      <c r="FN11" s="296"/>
      <c r="FO11" s="296"/>
      <c r="FP11" s="296"/>
      <c r="FQ11" s="296"/>
      <c r="FR11" s="296"/>
      <c r="FS11" s="296"/>
      <c r="FT11" s="296"/>
      <c r="FU11" s="296"/>
      <c r="FV11" s="296"/>
      <c r="FW11" s="296"/>
      <c r="FX11" s="296"/>
      <c r="FY11" s="296"/>
      <c r="FZ11" s="296"/>
      <c r="GA11" s="296"/>
      <c r="GB11" s="296"/>
      <c r="GC11" s="296"/>
      <c r="GD11" s="296"/>
      <c r="GE11" s="296"/>
      <c r="GF11" s="296"/>
      <c r="GG11" s="296"/>
      <c r="GH11" s="296"/>
      <c r="GI11" s="296"/>
      <c r="GJ11" s="296"/>
      <c r="GK11" s="296"/>
      <c r="GL11" s="296"/>
      <c r="GM11" s="296"/>
      <c r="GN11" s="296"/>
      <c r="GO11" s="296"/>
      <c r="GP11" s="296"/>
      <c r="GQ11" s="296"/>
      <c r="GR11" s="296"/>
      <c r="GS11" s="296"/>
      <c r="GT11" s="296"/>
      <c r="GU11" s="296"/>
      <c r="GV11" s="296"/>
      <c r="GW11" s="296"/>
      <c r="GX11" s="296"/>
      <c r="GY11" s="296"/>
      <c r="GZ11" s="296"/>
      <c r="HA11" s="296"/>
      <c r="HB11" s="296"/>
      <c r="HC11" s="296"/>
      <c r="HD11" s="296"/>
      <c r="HE11" s="296"/>
      <c r="HF11" s="296"/>
      <c r="HG11" s="296"/>
      <c r="HH11" s="296"/>
      <c r="HI11" s="296"/>
      <c r="HJ11" s="296"/>
      <c r="HK11" s="296"/>
      <c r="HL11" s="296"/>
      <c r="HM11" s="296"/>
      <c r="HN11" s="296"/>
      <c r="HO11" s="296"/>
      <c r="HP11" s="296"/>
      <c r="HQ11" s="296"/>
      <c r="HR11" s="296"/>
      <c r="HS11" s="296"/>
      <c r="HT11" s="296"/>
      <c r="HU11" s="296"/>
      <c r="HV11" s="296"/>
      <c r="HW11" s="296"/>
      <c r="HX11" s="296"/>
      <c r="HY11" s="296"/>
      <c r="HZ11" s="296"/>
    </row>
    <row r="12" spans="1:234" s="293" customFormat="1" ht="21" customHeight="1">
      <c r="A12" s="304" t="s">
        <v>145</v>
      </c>
      <c r="B12" s="305">
        <v>17230</v>
      </c>
      <c r="C12" s="306">
        <v>17450</v>
      </c>
      <c r="D12" s="307">
        <f t="shared" si="10"/>
        <v>1.2768427161926872</v>
      </c>
      <c r="E12" s="293">
        <f t="shared" si="6"/>
        <v>18608.400000000001</v>
      </c>
      <c r="F12" s="293">
        <v>23035</v>
      </c>
      <c r="G12" s="308">
        <v>24362</v>
      </c>
      <c r="I12" s="323">
        <f t="shared" si="7"/>
        <v>-28.372054839504145</v>
      </c>
      <c r="J12" s="324">
        <v>4228</v>
      </c>
      <c r="K12" s="293">
        <v>9198</v>
      </c>
      <c r="L12" s="293">
        <f t="shared" si="8"/>
        <v>8032</v>
      </c>
      <c r="N12" s="308">
        <v>4228</v>
      </c>
      <c r="O12" s="293">
        <f t="shared" si="9"/>
        <v>13002</v>
      </c>
      <c r="Q12" s="293">
        <v>21458</v>
      </c>
    </row>
    <row r="13" spans="1:234" s="293" customFormat="1" ht="21" customHeight="1">
      <c r="A13" s="304" t="s">
        <v>146</v>
      </c>
      <c r="B13" s="305">
        <f>10945-3510</f>
        <v>7435</v>
      </c>
      <c r="C13" s="306">
        <v>7500</v>
      </c>
      <c r="D13" s="307">
        <f t="shared" si="10"/>
        <v>0.87424344317417624</v>
      </c>
      <c r="E13" s="293">
        <f t="shared" si="6"/>
        <v>8029.8</v>
      </c>
      <c r="F13" s="293">
        <v>6660</v>
      </c>
      <c r="G13" s="308">
        <v>8052</v>
      </c>
      <c r="I13" s="323">
        <f t="shared" si="7"/>
        <v>-6.8554396423248818</v>
      </c>
      <c r="J13" s="324">
        <v>3510</v>
      </c>
      <c r="K13" s="293">
        <v>595</v>
      </c>
      <c r="L13" s="293">
        <f t="shared" si="8"/>
        <v>6840</v>
      </c>
      <c r="N13" s="308">
        <v>3510</v>
      </c>
      <c r="O13" s="293">
        <f t="shared" si="9"/>
        <v>3925</v>
      </c>
      <c r="Q13" s="293">
        <v>10945</v>
      </c>
    </row>
    <row r="14" spans="1:234" s="293" customFormat="1" ht="21" customHeight="1">
      <c r="A14" s="304" t="s">
        <v>147</v>
      </c>
      <c r="B14" s="305">
        <v>26135</v>
      </c>
      <c r="C14" s="306">
        <f>13666+240</f>
        <v>13906</v>
      </c>
      <c r="D14" s="307">
        <f t="shared" si="10"/>
        <v>-46.791658695236272</v>
      </c>
      <c r="E14" s="293">
        <f t="shared" si="6"/>
        <v>28225.800000000003</v>
      </c>
      <c r="F14" s="293">
        <v>26123</v>
      </c>
      <c r="G14" s="308">
        <v>26934</v>
      </c>
      <c r="I14" s="323">
        <f t="shared" si="7"/>
        <v>-48.370089849261156</v>
      </c>
      <c r="J14" s="324">
        <v>50</v>
      </c>
      <c r="K14" s="293">
        <v>5203</v>
      </c>
      <c r="L14" s="293">
        <f t="shared" si="8"/>
        <v>20932</v>
      </c>
      <c r="N14" s="308"/>
      <c r="O14" s="293">
        <f t="shared" si="9"/>
        <v>26135</v>
      </c>
      <c r="Q14" s="293">
        <v>26135</v>
      </c>
    </row>
    <row r="15" spans="1:234" s="293" customFormat="1" ht="21" customHeight="1">
      <c r="A15" s="304" t="s">
        <v>148</v>
      </c>
      <c r="B15" s="305">
        <v>13558</v>
      </c>
      <c r="C15" s="306">
        <v>14148</v>
      </c>
      <c r="D15" s="307">
        <f t="shared" si="10"/>
        <v>4.3516742882431032</v>
      </c>
      <c r="E15" s="293">
        <f t="shared" si="6"/>
        <v>14642.640000000001</v>
      </c>
      <c r="F15" s="293">
        <v>18553</v>
      </c>
      <c r="G15" s="308">
        <v>27348</v>
      </c>
      <c r="I15" s="323">
        <f t="shared" si="7"/>
        <v>-48.266783677051336</v>
      </c>
      <c r="J15" s="324">
        <v>10018</v>
      </c>
      <c r="K15" s="293">
        <v>7635</v>
      </c>
      <c r="L15" s="293">
        <f t="shared" si="8"/>
        <v>5923</v>
      </c>
      <c r="N15" s="308">
        <f>10018-2000</f>
        <v>8018</v>
      </c>
      <c r="O15" s="293">
        <f t="shared" si="9"/>
        <v>5540</v>
      </c>
      <c r="Q15" s="293">
        <v>21576</v>
      </c>
    </row>
    <row r="16" spans="1:234" s="293" customFormat="1" ht="21" customHeight="1">
      <c r="A16" s="304" t="s">
        <v>149</v>
      </c>
      <c r="B16" s="305">
        <v>35068</v>
      </c>
      <c r="C16" s="306">
        <v>20065</v>
      </c>
      <c r="D16" s="307">
        <f t="shared" si="10"/>
        <v>-42.782593817725562</v>
      </c>
      <c r="E16" s="293">
        <f t="shared" si="6"/>
        <v>37873.440000000002</v>
      </c>
      <c r="F16" s="293">
        <v>31129</v>
      </c>
      <c r="G16" s="308">
        <v>41534</v>
      </c>
      <c r="I16" s="323">
        <f t="shared" si="7"/>
        <v>-51.690181538017043</v>
      </c>
      <c r="J16" s="324">
        <v>30533</v>
      </c>
      <c r="L16" s="293">
        <f t="shared" si="8"/>
        <v>35068</v>
      </c>
      <c r="N16" s="308"/>
      <c r="O16" s="293">
        <f t="shared" si="9"/>
        <v>35068</v>
      </c>
      <c r="Q16" s="293">
        <v>35068</v>
      </c>
    </row>
    <row r="17" spans="1:17" s="293" customFormat="1" ht="21" customHeight="1">
      <c r="A17" s="304" t="s">
        <v>150</v>
      </c>
      <c r="B17" s="305">
        <v>2402</v>
      </c>
      <c r="C17" s="306">
        <v>2300</v>
      </c>
      <c r="D17" s="307">
        <f t="shared" si="10"/>
        <v>-4.2464612822647796</v>
      </c>
      <c r="E17" s="293">
        <f t="shared" si="6"/>
        <v>2594.1600000000003</v>
      </c>
      <c r="F17" s="293">
        <v>3922</v>
      </c>
      <c r="G17" s="308">
        <v>3743</v>
      </c>
      <c r="I17" s="323">
        <f t="shared" si="7"/>
        <v>-38.55196366550895</v>
      </c>
      <c r="J17" s="324">
        <v>753</v>
      </c>
      <c r="K17" s="293">
        <v>121</v>
      </c>
      <c r="L17" s="293">
        <f t="shared" si="8"/>
        <v>2281</v>
      </c>
      <c r="N17" s="308"/>
      <c r="O17" s="293">
        <f t="shared" si="9"/>
        <v>2402</v>
      </c>
      <c r="Q17" s="293">
        <v>2402</v>
      </c>
    </row>
    <row r="18" spans="1:17" s="293" customFormat="1" ht="21" customHeight="1">
      <c r="A18" s="304" t="s">
        <v>151</v>
      </c>
      <c r="B18" s="305">
        <v>1746</v>
      </c>
      <c r="C18" s="306">
        <v>1580</v>
      </c>
      <c r="D18" s="307">
        <f t="shared" si="10"/>
        <v>-9.5074455899198167</v>
      </c>
      <c r="E18" s="293">
        <f t="shared" si="6"/>
        <v>1885.68</v>
      </c>
      <c r="F18" s="293">
        <v>1508</v>
      </c>
      <c r="G18" s="308">
        <v>2064</v>
      </c>
      <c r="I18" s="323">
        <f t="shared" si="7"/>
        <v>-23.449612403100772</v>
      </c>
      <c r="J18" s="324">
        <v>735</v>
      </c>
      <c r="L18" s="293">
        <f t="shared" si="8"/>
        <v>1746</v>
      </c>
      <c r="M18" s="293">
        <f>56557-1474</f>
        <v>55083</v>
      </c>
      <c r="N18" s="308"/>
      <c r="O18" s="293">
        <f t="shared" si="9"/>
        <v>1746</v>
      </c>
      <c r="Q18" s="293">
        <v>1746</v>
      </c>
    </row>
    <row r="19" spans="1:17" s="293" customFormat="1" ht="21" customHeight="1">
      <c r="A19" s="304" t="s">
        <v>152</v>
      </c>
      <c r="B19" s="305">
        <v>157</v>
      </c>
      <c r="C19" s="306">
        <v>160</v>
      </c>
      <c r="D19" s="307">
        <f t="shared" si="10"/>
        <v>1.910828025477707</v>
      </c>
      <c r="E19" s="293">
        <f t="shared" si="6"/>
        <v>169.56</v>
      </c>
      <c r="F19" s="293">
        <v>867</v>
      </c>
      <c r="G19" s="308">
        <v>157</v>
      </c>
      <c r="I19" s="323">
        <f t="shared" si="7"/>
        <v>1.9108280254777128</v>
      </c>
      <c r="J19" s="324"/>
      <c r="K19" s="293">
        <v>21</v>
      </c>
      <c r="L19" s="293">
        <f t="shared" si="8"/>
        <v>136</v>
      </c>
      <c r="N19" s="308"/>
      <c r="O19" s="293">
        <f t="shared" si="9"/>
        <v>157</v>
      </c>
      <c r="Q19" s="293">
        <v>157</v>
      </c>
    </row>
    <row r="20" spans="1:17" s="293" customFormat="1" ht="21" customHeight="1">
      <c r="A20" s="311" t="s">
        <v>153</v>
      </c>
      <c r="B20" s="305">
        <v>0</v>
      </c>
      <c r="C20" s="306"/>
      <c r="D20" s="307"/>
      <c r="E20" s="293">
        <f t="shared" si="6"/>
        <v>0</v>
      </c>
      <c r="F20" s="293">
        <v>0</v>
      </c>
      <c r="G20" s="308"/>
      <c r="I20" s="323" t="e">
        <f t="shared" si="7"/>
        <v>#DIV/0!</v>
      </c>
      <c r="J20" s="324"/>
      <c r="L20" s="293">
        <f t="shared" si="8"/>
        <v>0</v>
      </c>
      <c r="N20" s="308"/>
      <c r="O20" s="293">
        <f t="shared" si="9"/>
        <v>0</v>
      </c>
    </row>
    <row r="21" spans="1:17" s="293" customFormat="1" ht="21" customHeight="1">
      <c r="A21" s="311" t="s">
        <v>154</v>
      </c>
      <c r="B21" s="305">
        <v>3299</v>
      </c>
      <c r="C21" s="306">
        <v>2900</v>
      </c>
      <c r="D21" s="307">
        <f t="shared" ref="D21" si="11">+(C21-B21)/B21*100</f>
        <v>-12.094574113367687</v>
      </c>
      <c r="E21" s="293">
        <f t="shared" si="6"/>
        <v>3562.92</v>
      </c>
      <c r="F21" s="293">
        <v>3335</v>
      </c>
      <c r="G21" s="308">
        <v>3894</v>
      </c>
      <c r="I21" s="323">
        <f t="shared" si="7"/>
        <v>-25.526450950179765</v>
      </c>
      <c r="J21" s="324">
        <v>768</v>
      </c>
      <c r="K21" s="293">
        <v>1902</v>
      </c>
      <c r="L21" s="293">
        <f t="shared" si="8"/>
        <v>1397</v>
      </c>
      <c r="N21" s="308"/>
      <c r="O21" s="293">
        <f t="shared" si="9"/>
        <v>3299</v>
      </c>
      <c r="Q21" s="293">
        <v>3299</v>
      </c>
    </row>
    <row r="22" spans="1:17" s="293" customFormat="1" ht="21" customHeight="1">
      <c r="A22" s="311" t="s">
        <v>155</v>
      </c>
      <c r="B22" s="305">
        <v>4516</v>
      </c>
      <c r="C22" s="306">
        <v>4600</v>
      </c>
      <c r="D22" s="307">
        <f t="shared" ref="D22:D28" si="12">+(C22-B22)/B22*100</f>
        <v>1.8600531443755535</v>
      </c>
      <c r="E22" s="293">
        <f t="shared" si="6"/>
        <v>4877.2800000000007</v>
      </c>
      <c r="F22" s="293">
        <v>17006</v>
      </c>
      <c r="G22" s="308">
        <v>15485</v>
      </c>
      <c r="I22" s="323">
        <f t="shared" si="7"/>
        <v>-70.293832741362607</v>
      </c>
      <c r="J22" s="324">
        <v>5623</v>
      </c>
      <c r="K22" s="293">
        <v>4735</v>
      </c>
      <c r="L22" s="293">
        <f t="shared" si="8"/>
        <v>-219</v>
      </c>
      <c r="N22" s="308">
        <v>5623</v>
      </c>
      <c r="O22" s="293">
        <f t="shared" si="9"/>
        <v>-1107</v>
      </c>
      <c r="Q22" s="293">
        <v>10139</v>
      </c>
    </row>
    <row r="23" spans="1:17" ht="21" customHeight="1">
      <c r="A23" s="311" t="s">
        <v>156</v>
      </c>
      <c r="B23" s="305">
        <v>568</v>
      </c>
      <c r="C23" s="312">
        <v>570</v>
      </c>
      <c r="D23" s="307">
        <f t="shared" si="12"/>
        <v>0.35211267605633806</v>
      </c>
      <c r="E23" s="293">
        <f t="shared" si="6"/>
        <v>613.44000000000005</v>
      </c>
      <c r="F23" s="295">
        <v>2860</v>
      </c>
      <c r="G23" s="308">
        <v>1007</v>
      </c>
      <c r="I23" s="323">
        <f t="shared" si="7"/>
        <v>-43.39622641509434</v>
      </c>
      <c r="J23" s="326">
        <v>330</v>
      </c>
      <c r="K23" s="295">
        <v>13</v>
      </c>
      <c r="L23" s="293">
        <f t="shared" si="8"/>
        <v>555</v>
      </c>
      <c r="N23" s="297">
        <v>330</v>
      </c>
      <c r="O23" s="293">
        <f t="shared" si="9"/>
        <v>238</v>
      </c>
      <c r="Q23" s="295">
        <v>898</v>
      </c>
    </row>
    <row r="24" spans="1:17" ht="21" customHeight="1">
      <c r="A24" s="311" t="s">
        <v>345</v>
      </c>
      <c r="B24" s="305">
        <v>8000</v>
      </c>
      <c r="C24" s="312">
        <v>6800</v>
      </c>
      <c r="D24" s="307">
        <f t="shared" si="12"/>
        <v>-15</v>
      </c>
      <c r="E24" s="293">
        <f t="shared" si="6"/>
        <v>8640</v>
      </c>
      <c r="F24" s="295">
        <v>8000</v>
      </c>
      <c r="G24" s="308"/>
      <c r="I24" s="323" t="e">
        <f t="shared" si="7"/>
        <v>#DIV/0!</v>
      </c>
      <c r="J24" s="326"/>
      <c r="L24" s="293">
        <f t="shared" si="8"/>
        <v>8000</v>
      </c>
      <c r="N24" s="297"/>
      <c r="O24" s="293">
        <f t="shared" si="9"/>
        <v>8000</v>
      </c>
      <c r="Q24" s="295">
        <v>8000</v>
      </c>
    </row>
    <row r="25" spans="1:17" ht="21" customHeight="1">
      <c r="A25" s="313" t="s">
        <v>346</v>
      </c>
      <c r="B25" s="305">
        <v>11207</v>
      </c>
      <c r="C25" s="312">
        <v>16908</v>
      </c>
      <c r="D25" s="307">
        <f t="shared" si="12"/>
        <v>50.869991969304898</v>
      </c>
      <c r="E25" s="293">
        <f t="shared" si="6"/>
        <v>12103.560000000001</v>
      </c>
      <c r="F25" s="295">
        <v>4296</v>
      </c>
      <c r="G25" s="297">
        <v>11209</v>
      </c>
      <c r="I25" s="323">
        <f t="shared" si="7"/>
        <v>50.843072531001866</v>
      </c>
      <c r="J25" s="326">
        <v>19</v>
      </c>
      <c r="L25" s="293">
        <f t="shared" si="8"/>
        <v>11207</v>
      </c>
      <c r="N25" s="297"/>
      <c r="O25" s="293">
        <f t="shared" si="9"/>
        <v>11207</v>
      </c>
      <c r="Q25" s="295">
        <v>11207</v>
      </c>
    </row>
    <row r="26" spans="1:17" ht="21" customHeight="1">
      <c r="A26" s="311" t="s">
        <v>158</v>
      </c>
      <c r="B26" s="314">
        <v>2837</v>
      </c>
      <c r="C26" s="312"/>
      <c r="D26" s="307">
        <f t="shared" si="12"/>
        <v>-100</v>
      </c>
      <c r="E26" s="293">
        <f t="shared" si="6"/>
        <v>3063.96</v>
      </c>
      <c r="F26" s="295">
        <v>6186</v>
      </c>
      <c r="G26" s="297">
        <v>3125</v>
      </c>
      <c r="I26" s="323">
        <f t="shared" si="7"/>
        <v>-100</v>
      </c>
      <c r="J26" s="326">
        <v>2797</v>
      </c>
      <c r="K26" s="295">
        <v>1474</v>
      </c>
      <c r="L26" s="293">
        <f t="shared" si="8"/>
        <v>1363</v>
      </c>
      <c r="N26" s="297"/>
      <c r="O26" s="293">
        <f t="shared" si="9"/>
        <v>2837</v>
      </c>
      <c r="Q26" s="295">
        <v>2837</v>
      </c>
    </row>
    <row r="27" spans="1:17" ht="21" customHeight="1">
      <c r="A27" s="315" t="s">
        <v>347</v>
      </c>
      <c r="B27" s="316">
        <f t="shared" ref="B27:C27" si="13">SUM(B4:B26)</f>
        <v>439416</v>
      </c>
      <c r="C27" s="316">
        <f t="shared" si="13"/>
        <v>410859</v>
      </c>
      <c r="D27" s="307">
        <f t="shared" si="12"/>
        <v>-6.4988530231033916</v>
      </c>
      <c r="E27" s="293">
        <f t="shared" si="6"/>
        <v>474569.28</v>
      </c>
      <c r="F27" s="295">
        <v>439416</v>
      </c>
      <c r="G27" s="297">
        <f>SUM(G4:G26)</f>
        <v>470380</v>
      </c>
      <c r="I27" s="323">
        <f t="shared" si="7"/>
        <v>-12.653811811726683</v>
      </c>
      <c r="J27" s="326">
        <f t="shared" ref="J27:K27" si="14">SUM(J4:J26)</f>
        <v>88867</v>
      </c>
      <c r="K27" s="295">
        <f t="shared" si="14"/>
        <v>56557</v>
      </c>
      <c r="L27" s="293">
        <f t="shared" si="8"/>
        <v>382859</v>
      </c>
      <c r="N27" s="297">
        <f>SUM(N4:N26)</f>
        <v>37982</v>
      </c>
    </row>
    <row r="28" spans="1:17" ht="21" customHeight="1">
      <c r="A28" s="317" t="s">
        <v>348</v>
      </c>
      <c r="B28" s="318">
        <v>35582</v>
      </c>
      <c r="C28" s="318">
        <v>40287</v>
      </c>
      <c r="D28" s="307">
        <f t="shared" si="12"/>
        <v>13.222977910179305</v>
      </c>
      <c r="E28" s="293">
        <f t="shared" si="6"/>
        <v>38428.560000000005</v>
      </c>
      <c r="F28" s="295">
        <v>35582</v>
      </c>
      <c r="K28" s="295">
        <f>+K27-35582</f>
        <v>20975</v>
      </c>
    </row>
    <row r="29" spans="1:17" ht="21" customHeight="1">
      <c r="A29" s="285" t="s">
        <v>349</v>
      </c>
      <c r="B29" s="318"/>
      <c r="C29" s="318">
        <v>6220</v>
      </c>
      <c r="D29" s="307"/>
      <c r="E29" s="293"/>
      <c r="N29" s="295">
        <f>470378-439416</f>
        <v>30962</v>
      </c>
      <c r="O29" s="295">
        <f>+N27-N29</f>
        <v>7020</v>
      </c>
    </row>
    <row r="30" spans="1:17" ht="21" customHeight="1">
      <c r="A30" s="277" t="s">
        <v>350</v>
      </c>
      <c r="B30" s="318"/>
      <c r="C30" s="318">
        <v>12000</v>
      </c>
      <c r="D30" s="307"/>
      <c r="E30" s="293"/>
    </row>
    <row r="31" spans="1:17" ht="21" customHeight="1">
      <c r="A31" s="319" t="s">
        <v>291</v>
      </c>
      <c r="B31" s="318">
        <f>+B27+B28</f>
        <v>474998</v>
      </c>
      <c r="C31" s="318">
        <f>SUM(C27:C30)</f>
        <v>469366</v>
      </c>
      <c r="D31" s="307">
        <f>+(C31-B31)/B31*100</f>
        <v>-1.1856892029019068</v>
      </c>
      <c r="E31" s="293">
        <f>+B31*1.08</f>
        <v>512997.84</v>
      </c>
      <c r="F31" s="295">
        <v>474998</v>
      </c>
      <c r="N31" s="295">
        <f>+N27-B33</f>
        <v>37982</v>
      </c>
    </row>
    <row r="32" spans="1:17">
      <c r="C32" s="320"/>
    </row>
    <row r="33" spans="1:4" hidden="1">
      <c r="B33" s="295">
        <f>+B27-439416</f>
        <v>0</v>
      </c>
      <c r="D33" s="296">
        <v>469366</v>
      </c>
    </row>
    <row r="34" spans="1:4" hidden="1">
      <c r="D34" s="296">
        <f>+D33-C31</f>
        <v>0</v>
      </c>
    </row>
    <row r="35" spans="1:4" hidden="1"/>
    <row r="36" spans="1:4" hidden="1"/>
    <row r="37" spans="1:4" hidden="1"/>
    <row r="38" spans="1:4" hidden="1"/>
    <row r="39" spans="1:4" hidden="1"/>
    <row r="40" spans="1:4">
      <c r="A40" s="321"/>
    </row>
  </sheetData>
  <phoneticPr fontId="2" type="noConversion"/>
  <printOptions horizontalCentered="1"/>
  <pageMargins left="0.79027777777777797" right="0.79027777777777797" top="0.97916666666666696" bottom="0.97916666666666696" header="0.2" footer="0.79027777777777797"/>
  <pageSetup paperSize="9" firstPageNumber="15" orientation="portrait" useFirstPageNumber="1"/>
  <headerFooter alignWithMargins="0">
    <oddFooter>&amp;C第 &amp;P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F27"/>
  <sheetViews>
    <sheetView workbookViewId="0">
      <selection activeCell="G19" sqref="G19"/>
    </sheetView>
  </sheetViews>
  <sheetFormatPr defaultColWidth="9" defaultRowHeight="15.75"/>
  <cols>
    <col min="1" max="1" width="28.375" style="193" customWidth="1"/>
    <col min="2" max="2" width="10.125" style="193" customWidth="1"/>
    <col min="3" max="3" width="27.875" style="193" customWidth="1"/>
    <col min="4" max="4" width="10.25" style="193" customWidth="1"/>
    <col min="5" max="5" width="9" style="193"/>
    <col min="6" max="6" width="9" style="193" hidden="1" customWidth="1"/>
    <col min="7" max="16384" width="9" style="193"/>
  </cols>
  <sheetData>
    <row r="1" spans="1:6" s="192" customFormat="1" ht="42" customHeight="1">
      <c r="A1" s="567" t="s">
        <v>32</v>
      </c>
      <c r="B1" s="567"/>
      <c r="C1" s="567"/>
      <c r="D1" s="567"/>
      <c r="E1" s="211"/>
    </row>
    <row r="2" spans="1:6" ht="19.5" customHeight="1">
      <c r="A2" s="269"/>
      <c r="B2" s="270"/>
      <c r="C2" s="269"/>
      <c r="D2" s="271" t="s">
        <v>81</v>
      </c>
    </row>
    <row r="3" spans="1:6" ht="27" customHeight="1">
      <c r="A3" s="568" t="s">
        <v>295</v>
      </c>
      <c r="B3" s="568"/>
      <c r="C3" s="568" t="s">
        <v>296</v>
      </c>
      <c r="D3" s="568"/>
    </row>
    <row r="4" spans="1:6" ht="35.1" customHeight="1">
      <c r="A4" s="272" t="s">
        <v>297</v>
      </c>
      <c r="B4" s="273" t="s">
        <v>351</v>
      </c>
      <c r="C4" s="274" t="s">
        <v>297</v>
      </c>
      <c r="D4" s="273" t="s">
        <v>351</v>
      </c>
    </row>
    <row r="5" spans="1:6" ht="30" customHeight="1">
      <c r="A5" s="275" t="s">
        <v>303</v>
      </c>
      <c r="B5" s="276">
        <v>155627</v>
      </c>
      <c r="C5" s="277" t="s">
        <v>304</v>
      </c>
      <c r="D5" s="196">
        <f>+D6+D7</f>
        <v>410859</v>
      </c>
    </row>
    <row r="6" spans="1:6" ht="35.1" customHeight="1">
      <c r="A6" s="278" t="s">
        <v>305</v>
      </c>
      <c r="B6" s="279">
        <f>B7+B12+B17</f>
        <v>188712</v>
      </c>
      <c r="C6" s="277" t="s">
        <v>352</v>
      </c>
      <c r="D6" s="279">
        <f>375618-21853-40287</f>
        <v>313478</v>
      </c>
    </row>
    <row r="7" spans="1:6" ht="30" customHeight="1">
      <c r="A7" s="278" t="s">
        <v>307</v>
      </c>
      <c r="B7" s="280">
        <v>16371</v>
      </c>
      <c r="C7" s="278" t="s">
        <v>308</v>
      </c>
      <c r="D7" s="279">
        <v>97381</v>
      </c>
    </row>
    <row r="8" spans="1:6" ht="30" customHeight="1">
      <c r="A8" s="278" t="s">
        <v>309</v>
      </c>
      <c r="B8" s="280">
        <v>10437</v>
      </c>
      <c r="C8" s="278" t="s">
        <v>310</v>
      </c>
      <c r="D8" s="276">
        <f>+D9+D10</f>
        <v>9069</v>
      </c>
      <c r="F8" s="193">
        <f>+D8-B27</f>
        <v>9069</v>
      </c>
    </row>
    <row r="9" spans="1:6" ht="30" customHeight="1">
      <c r="A9" s="278" t="s">
        <v>311</v>
      </c>
      <c r="B9" s="280">
        <v>115</v>
      </c>
      <c r="C9" s="278" t="s">
        <v>312</v>
      </c>
      <c r="D9" s="197">
        <v>1706</v>
      </c>
    </row>
    <row r="10" spans="1:6" ht="30" customHeight="1">
      <c r="A10" s="278" t="s">
        <v>313</v>
      </c>
      <c r="B10" s="280">
        <v>5819</v>
      </c>
      <c r="C10" s="278" t="s">
        <v>314</v>
      </c>
      <c r="D10" s="197">
        <v>7363</v>
      </c>
      <c r="E10" s="281"/>
      <c r="F10" s="193">
        <v>7380</v>
      </c>
    </row>
    <row r="11" spans="1:6" ht="27" hidden="1" customHeight="1">
      <c r="A11" s="278" t="s">
        <v>315</v>
      </c>
      <c r="B11" s="280"/>
      <c r="C11" s="278" t="s">
        <v>353</v>
      </c>
      <c r="D11" s="282"/>
    </row>
    <row r="12" spans="1:6" ht="27.95" customHeight="1">
      <c r="A12" s="278" t="s">
        <v>316</v>
      </c>
      <c r="B12" s="276">
        <f>SUM(B13:B16)</f>
        <v>74960</v>
      </c>
      <c r="C12" s="278"/>
      <c r="D12" s="276"/>
      <c r="F12" s="193">
        <f>+F10-D9</f>
        <v>5674</v>
      </c>
    </row>
    <row r="13" spans="1:6" ht="27.95" customHeight="1">
      <c r="A13" s="278" t="s">
        <v>318</v>
      </c>
      <c r="B13" s="283">
        <v>-1859</v>
      </c>
      <c r="C13" s="284" t="s">
        <v>317</v>
      </c>
      <c r="D13" s="196">
        <v>40287</v>
      </c>
    </row>
    <row r="14" spans="1:6" ht="27.95" customHeight="1">
      <c r="A14" s="278" t="s">
        <v>320</v>
      </c>
      <c r="B14" s="280">
        <v>56155</v>
      </c>
      <c r="C14" s="285" t="s">
        <v>354</v>
      </c>
      <c r="D14" s="286">
        <v>6220</v>
      </c>
    </row>
    <row r="15" spans="1:6" ht="27.95" customHeight="1">
      <c r="A15" s="278" t="s">
        <v>355</v>
      </c>
      <c r="B15" s="287">
        <v>11842</v>
      </c>
      <c r="C15" s="285" t="s">
        <v>321</v>
      </c>
      <c r="D15" s="279"/>
      <c r="F15" s="193">
        <f>+B25-D25</f>
        <v>0</v>
      </c>
    </row>
    <row r="16" spans="1:6" ht="27.95" customHeight="1">
      <c r="A16" s="278" t="s">
        <v>324</v>
      </c>
      <c r="B16" s="276">
        <v>8822</v>
      </c>
      <c r="C16" s="277" t="s">
        <v>323</v>
      </c>
      <c r="D16" s="279"/>
      <c r="F16" s="193">
        <v>25787</v>
      </c>
    </row>
    <row r="17" spans="1:6" ht="27.95" customHeight="1">
      <c r="A17" s="278" t="s">
        <v>326</v>
      </c>
      <c r="B17" s="276">
        <v>97381</v>
      </c>
      <c r="C17" s="277" t="s">
        <v>325</v>
      </c>
      <c r="D17" s="286">
        <v>12000</v>
      </c>
      <c r="F17" s="193" t="e">
        <f>+F16-#REF!-#REF!-B16-B15</f>
        <v>#REF!</v>
      </c>
    </row>
    <row r="18" spans="1:6" ht="27.95" customHeight="1">
      <c r="A18" s="278" t="s">
        <v>356</v>
      </c>
      <c r="B18" s="288">
        <v>56686</v>
      </c>
      <c r="C18" s="278"/>
      <c r="D18" s="276"/>
    </row>
    <row r="19" spans="1:6" ht="27.95" customHeight="1">
      <c r="A19" s="277" t="s">
        <v>357</v>
      </c>
      <c r="B19" s="288"/>
      <c r="C19" s="285"/>
      <c r="D19" s="279"/>
    </row>
    <row r="20" spans="1:6" ht="27.95" customHeight="1">
      <c r="A20" s="277" t="s">
        <v>358</v>
      </c>
      <c r="B20" s="288">
        <v>52000</v>
      </c>
      <c r="C20" s="289"/>
      <c r="D20" s="276"/>
    </row>
    <row r="21" spans="1:6" ht="27.95" customHeight="1">
      <c r="A21" s="277" t="s">
        <v>359</v>
      </c>
      <c r="B21" s="288">
        <v>271</v>
      </c>
      <c r="C21" s="289"/>
      <c r="D21" s="279"/>
    </row>
    <row r="22" spans="1:6" ht="27" customHeight="1">
      <c r="A22" s="277" t="s">
        <v>360</v>
      </c>
      <c r="B22" s="288">
        <v>6220</v>
      </c>
      <c r="C22" s="289"/>
      <c r="D22" s="279"/>
    </row>
    <row r="23" spans="1:6" ht="27" customHeight="1">
      <c r="A23" s="277" t="s">
        <v>361</v>
      </c>
      <c r="B23" s="288">
        <v>6919</v>
      </c>
      <c r="C23" s="289"/>
      <c r="D23" s="279"/>
    </row>
    <row r="24" spans="1:6" ht="27" customHeight="1">
      <c r="A24" s="277" t="s">
        <v>362</v>
      </c>
      <c r="B24" s="288">
        <v>12000</v>
      </c>
      <c r="C24" s="289"/>
      <c r="D24" s="279"/>
    </row>
    <row r="25" spans="1:6" ht="27" customHeight="1">
      <c r="A25" s="290" t="s">
        <v>363</v>
      </c>
      <c r="B25" s="279">
        <f>SUM(B18:B24)+B6+B5</f>
        <v>478435</v>
      </c>
      <c r="C25" s="290" t="s">
        <v>364</v>
      </c>
      <c r="D25" s="279">
        <f>SUM(D13:D17)+D5+D8</f>
        <v>478435</v>
      </c>
    </row>
    <row r="26" spans="1:6" ht="27" customHeight="1">
      <c r="D26" s="291"/>
    </row>
    <row r="27" spans="1:6" ht="35.1" customHeight="1">
      <c r="F27" s="291"/>
    </row>
  </sheetData>
  <mergeCells count="3">
    <mergeCell ref="A1:D1"/>
    <mergeCell ref="A3:B3"/>
    <mergeCell ref="C3:D3"/>
  </mergeCells>
  <phoneticPr fontId="2" type="noConversion"/>
  <printOptions horizontalCentered="1"/>
  <pageMargins left="0.79027777777777797" right="0.79027777777777797" top="0.97916666666666696" bottom="0.97916666666666696" header="0.2" footer="0.79027777777777797"/>
  <pageSetup paperSize="9" firstPageNumber="16" orientation="portrait" useFirstPageNumber="1"/>
  <headerFooter alignWithMargins="0">
    <oddFooter>&amp;C第 &amp;P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G623"/>
  <sheetViews>
    <sheetView topLeftCell="B594" workbookViewId="0">
      <selection activeCell="H552" sqref="H552"/>
    </sheetView>
  </sheetViews>
  <sheetFormatPr defaultColWidth="9" defaultRowHeight="14.25"/>
  <cols>
    <col min="1" max="1" width="9" style="252" hidden="1" customWidth="1"/>
    <col min="2" max="2" width="43.875" style="253" customWidth="1"/>
    <col min="3" max="3" width="18.75" style="254" customWidth="1"/>
    <col min="4" max="5" width="11.875" style="253" customWidth="1"/>
    <col min="6" max="6" width="9" style="253"/>
    <col min="7" max="7" width="9" style="253" hidden="1" customWidth="1"/>
    <col min="8" max="16384" width="9" style="253"/>
  </cols>
  <sheetData>
    <row r="1" spans="1:7" ht="22.5">
      <c r="B1" s="569" t="s">
        <v>34</v>
      </c>
      <c r="C1" s="569"/>
      <c r="D1" s="569"/>
      <c r="E1" s="569"/>
    </row>
    <row r="2" spans="1:7" ht="13.5" customHeight="1">
      <c r="B2" s="255"/>
      <c r="C2" s="256"/>
      <c r="D2" s="256"/>
      <c r="E2" s="256" t="s">
        <v>210</v>
      </c>
    </row>
    <row r="3" spans="1:7" ht="18" customHeight="1">
      <c r="B3" s="571" t="s">
        <v>365</v>
      </c>
      <c r="C3" s="570" t="s">
        <v>366</v>
      </c>
      <c r="D3" s="570"/>
      <c r="E3" s="570"/>
    </row>
    <row r="4" spans="1:7" ht="18" customHeight="1">
      <c r="B4" s="571"/>
      <c r="C4" s="570" t="s">
        <v>88</v>
      </c>
      <c r="D4" s="570" t="s">
        <v>367</v>
      </c>
      <c r="E4" s="570"/>
    </row>
    <row r="5" spans="1:7" ht="50.1" customHeight="1">
      <c r="B5" s="571"/>
      <c r="C5" s="570"/>
      <c r="D5" s="257" t="s">
        <v>368</v>
      </c>
      <c r="E5" s="258" t="s">
        <v>369</v>
      </c>
    </row>
    <row r="6" spans="1:7" ht="19.7" customHeight="1">
      <c r="A6" s="259">
        <v>201</v>
      </c>
      <c r="B6" s="260" t="s">
        <v>370</v>
      </c>
      <c r="C6" s="261">
        <f>60814-10494</f>
        <v>50320</v>
      </c>
      <c r="D6" s="261">
        <f t="shared" ref="D6" si="0">+C6-E6</f>
        <v>48485</v>
      </c>
      <c r="E6" s="262">
        <v>1835</v>
      </c>
      <c r="G6" s="253">
        <f>60814-50320</f>
        <v>10494</v>
      </c>
    </row>
    <row r="7" spans="1:7" ht="19.7" customHeight="1">
      <c r="A7" s="259">
        <v>20101</v>
      </c>
      <c r="B7" s="260" t="s">
        <v>371</v>
      </c>
      <c r="C7" s="261">
        <v>2284</v>
      </c>
      <c r="D7" s="261">
        <f t="shared" ref="D7:D38" si="1">+C7-E7</f>
        <v>2274</v>
      </c>
      <c r="E7" s="262">
        <v>10</v>
      </c>
    </row>
    <row r="8" spans="1:7" ht="19.7" customHeight="1">
      <c r="A8" s="259">
        <v>2010101</v>
      </c>
      <c r="B8" s="263" t="s">
        <v>372</v>
      </c>
      <c r="C8" s="261">
        <v>1810</v>
      </c>
      <c r="D8" s="261">
        <f t="shared" si="1"/>
        <v>1810</v>
      </c>
      <c r="E8" s="262"/>
    </row>
    <row r="9" spans="1:7" ht="19.7" customHeight="1">
      <c r="A9" s="259">
        <v>2010102</v>
      </c>
      <c r="B9" s="263" t="s">
        <v>373</v>
      </c>
      <c r="C9" s="261">
        <v>182</v>
      </c>
      <c r="D9" s="261">
        <f t="shared" si="1"/>
        <v>172</v>
      </c>
      <c r="E9" s="262">
        <v>10</v>
      </c>
    </row>
    <row r="10" spans="1:7" ht="19.7" customHeight="1">
      <c r="A10" s="259">
        <v>2010104</v>
      </c>
      <c r="B10" s="263" t="s">
        <v>374</v>
      </c>
      <c r="C10" s="261">
        <v>214</v>
      </c>
      <c r="D10" s="261">
        <f t="shared" si="1"/>
        <v>214</v>
      </c>
      <c r="E10" s="262"/>
    </row>
    <row r="11" spans="1:7" ht="19.7" customHeight="1">
      <c r="A11" s="259">
        <v>2010108</v>
      </c>
      <c r="B11" s="263" t="s">
        <v>375</v>
      </c>
      <c r="C11" s="261">
        <v>68</v>
      </c>
      <c r="D11" s="261">
        <f t="shared" si="1"/>
        <v>68</v>
      </c>
      <c r="E11" s="262"/>
    </row>
    <row r="12" spans="1:7" ht="19.7" customHeight="1">
      <c r="A12" s="259">
        <v>2010199</v>
      </c>
      <c r="B12" s="263" t="s">
        <v>376</v>
      </c>
      <c r="C12" s="261">
        <v>10</v>
      </c>
      <c r="D12" s="261">
        <f t="shared" si="1"/>
        <v>10</v>
      </c>
      <c r="E12" s="262"/>
    </row>
    <row r="13" spans="1:7" ht="19.7" customHeight="1">
      <c r="A13" s="259">
        <v>20102</v>
      </c>
      <c r="B13" s="260" t="s">
        <v>377</v>
      </c>
      <c r="C13" s="261">
        <v>1591</v>
      </c>
      <c r="D13" s="261">
        <f t="shared" si="1"/>
        <v>1585</v>
      </c>
      <c r="E13" s="262">
        <v>6</v>
      </c>
    </row>
    <row r="14" spans="1:7" ht="19.7" customHeight="1">
      <c r="A14" s="259">
        <v>2010201</v>
      </c>
      <c r="B14" s="263" t="s">
        <v>372</v>
      </c>
      <c r="C14" s="261">
        <v>926</v>
      </c>
      <c r="D14" s="261">
        <f t="shared" si="1"/>
        <v>926</v>
      </c>
      <c r="E14" s="262"/>
    </row>
    <row r="15" spans="1:7" ht="19.7" customHeight="1">
      <c r="A15" s="259">
        <v>2010202</v>
      </c>
      <c r="B15" s="263" t="s">
        <v>373</v>
      </c>
      <c r="C15" s="261">
        <v>488</v>
      </c>
      <c r="D15" s="261">
        <f t="shared" si="1"/>
        <v>482</v>
      </c>
      <c r="E15" s="262">
        <v>6</v>
      </c>
    </row>
    <row r="16" spans="1:7" ht="19.7" customHeight="1">
      <c r="A16" s="259">
        <v>2010204</v>
      </c>
      <c r="B16" s="263" t="s">
        <v>378</v>
      </c>
      <c r="C16" s="261">
        <v>162</v>
      </c>
      <c r="D16" s="261">
        <f t="shared" si="1"/>
        <v>162</v>
      </c>
      <c r="E16" s="262"/>
    </row>
    <row r="17" spans="1:7" ht="19.7" customHeight="1">
      <c r="A17" s="259">
        <v>2010299</v>
      </c>
      <c r="B17" s="263" t="s">
        <v>379</v>
      </c>
      <c r="C17" s="261">
        <v>15</v>
      </c>
      <c r="D17" s="261">
        <f t="shared" si="1"/>
        <v>15</v>
      </c>
      <c r="E17" s="262"/>
    </row>
    <row r="18" spans="1:7" ht="19.7" customHeight="1">
      <c r="A18" s="259">
        <v>20103</v>
      </c>
      <c r="B18" s="260" t="s">
        <v>380</v>
      </c>
      <c r="C18" s="261">
        <f>10872-2000</f>
        <v>8872</v>
      </c>
      <c r="D18" s="261">
        <f t="shared" si="1"/>
        <v>8807</v>
      </c>
      <c r="E18" s="262">
        <v>65</v>
      </c>
      <c r="G18" s="253">
        <v>2000</v>
      </c>
    </row>
    <row r="19" spans="1:7" ht="19.7" customHeight="1">
      <c r="A19" s="259">
        <v>2010301</v>
      </c>
      <c r="B19" s="263" t="s">
        <v>372</v>
      </c>
      <c r="C19" s="261">
        <f>6250-2000</f>
        <v>4250</v>
      </c>
      <c r="D19" s="261">
        <f t="shared" si="1"/>
        <v>4250</v>
      </c>
      <c r="E19" s="262"/>
    </row>
    <row r="20" spans="1:7" ht="19.7" customHeight="1">
      <c r="A20" s="259">
        <v>2010302</v>
      </c>
      <c r="B20" s="263" t="s">
        <v>373</v>
      </c>
      <c r="C20" s="261">
        <v>2778</v>
      </c>
      <c r="D20" s="261">
        <f t="shared" si="1"/>
        <v>2773</v>
      </c>
      <c r="E20" s="262">
        <v>5</v>
      </c>
    </row>
    <row r="21" spans="1:7" ht="19.7" customHeight="1">
      <c r="A21" s="259">
        <v>2010303</v>
      </c>
      <c r="B21" s="263" t="s">
        <v>381</v>
      </c>
      <c r="C21" s="261">
        <v>239</v>
      </c>
      <c r="D21" s="261">
        <f t="shared" si="1"/>
        <v>239</v>
      </c>
      <c r="E21" s="262"/>
    </row>
    <row r="22" spans="1:7" ht="19.7" customHeight="1">
      <c r="A22" s="259">
        <v>2010307</v>
      </c>
      <c r="B22" s="263" t="s">
        <v>382</v>
      </c>
      <c r="C22" s="261">
        <v>396</v>
      </c>
      <c r="D22" s="261">
        <f t="shared" si="1"/>
        <v>396</v>
      </c>
      <c r="E22" s="262"/>
    </row>
    <row r="23" spans="1:7" ht="19.7" customHeight="1">
      <c r="A23" s="259">
        <v>2010308</v>
      </c>
      <c r="B23" s="263" t="s">
        <v>383</v>
      </c>
      <c r="C23" s="261">
        <v>296</v>
      </c>
      <c r="D23" s="261">
        <f t="shared" si="1"/>
        <v>236</v>
      </c>
      <c r="E23" s="262">
        <v>60</v>
      </c>
    </row>
    <row r="24" spans="1:7" ht="19.7" customHeight="1">
      <c r="A24" s="259">
        <v>2010350</v>
      </c>
      <c r="B24" s="263" t="s">
        <v>384</v>
      </c>
      <c r="C24" s="261">
        <v>482</v>
      </c>
      <c r="D24" s="261">
        <f t="shared" si="1"/>
        <v>482</v>
      </c>
      <c r="E24" s="262"/>
    </row>
    <row r="25" spans="1:7" ht="19.7" customHeight="1">
      <c r="A25" s="259">
        <v>2010399</v>
      </c>
      <c r="B25" s="263" t="s">
        <v>385</v>
      </c>
      <c r="C25" s="261">
        <v>431</v>
      </c>
      <c r="D25" s="261">
        <f t="shared" si="1"/>
        <v>431</v>
      </c>
      <c r="E25" s="262"/>
    </row>
    <row r="26" spans="1:7" ht="19.7" customHeight="1">
      <c r="A26" s="259">
        <v>20104</v>
      </c>
      <c r="B26" s="260" t="s">
        <v>386</v>
      </c>
      <c r="C26" s="261">
        <v>3040</v>
      </c>
      <c r="D26" s="261">
        <f t="shared" si="1"/>
        <v>2977</v>
      </c>
      <c r="E26" s="262">
        <v>63</v>
      </c>
    </row>
    <row r="27" spans="1:7" ht="19.7" customHeight="1">
      <c r="A27" s="259">
        <v>2010401</v>
      </c>
      <c r="B27" s="263" t="s">
        <v>372</v>
      </c>
      <c r="C27" s="261">
        <v>1999</v>
      </c>
      <c r="D27" s="261">
        <f t="shared" si="1"/>
        <v>1999</v>
      </c>
      <c r="E27" s="262"/>
    </row>
    <row r="28" spans="1:7" ht="19.7" customHeight="1">
      <c r="A28" s="259">
        <v>2010402</v>
      </c>
      <c r="B28" s="263" t="s">
        <v>373</v>
      </c>
      <c r="C28" s="261">
        <v>159</v>
      </c>
      <c r="D28" s="261">
        <f t="shared" si="1"/>
        <v>159</v>
      </c>
      <c r="E28" s="262"/>
    </row>
    <row r="29" spans="1:7" ht="19.7" customHeight="1">
      <c r="A29" s="259">
        <v>2010408</v>
      </c>
      <c r="B29" s="263" t="s">
        <v>387</v>
      </c>
      <c r="C29" s="261">
        <v>21</v>
      </c>
      <c r="D29" s="261">
        <f t="shared" si="1"/>
        <v>0</v>
      </c>
      <c r="E29" s="262">
        <v>21</v>
      </c>
    </row>
    <row r="30" spans="1:7" ht="19.7" customHeight="1">
      <c r="A30" s="259">
        <v>2010499</v>
      </c>
      <c r="B30" s="263" t="s">
        <v>388</v>
      </c>
      <c r="C30" s="261">
        <v>861</v>
      </c>
      <c r="D30" s="261">
        <f t="shared" si="1"/>
        <v>819</v>
      </c>
      <c r="E30" s="262">
        <v>42</v>
      </c>
    </row>
    <row r="31" spans="1:7" ht="19.7" customHeight="1">
      <c r="A31" s="259">
        <v>20105</v>
      </c>
      <c r="B31" s="260" t="s">
        <v>389</v>
      </c>
      <c r="C31" s="261">
        <v>1063</v>
      </c>
      <c r="D31" s="261">
        <f t="shared" si="1"/>
        <v>1030</v>
      </c>
      <c r="E31" s="262">
        <v>33</v>
      </c>
    </row>
    <row r="32" spans="1:7" ht="19.7" customHeight="1">
      <c r="A32" s="259">
        <v>2010501</v>
      </c>
      <c r="B32" s="263" t="s">
        <v>372</v>
      </c>
      <c r="C32" s="261">
        <v>647</v>
      </c>
      <c r="D32" s="261">
        <f t="shared" si="1"/>
        <v>647</v>
      </c>
      <c r="E32" s="262"/>
    </row>
    <row r="33" spans="1:7" ht="19.7" customHeight="1">
      <c r="A33" s="259">
        <v>2010502</v>
      </c>
      <c r="B33" s="263" t="s">
        <v>373</v>
      </c>
      <c r="C33" s="261">
        <v>270</v>
      </c>
      <c r="D33" s="261">
        <f t="shared" si="1"/>
        <v>237</v>
      </c>
      <c r="E33" s="262">
        <v>33</v>
      </c>
    </row>
    <row r="34" spans="1:7" ht="19.7" customHeight="1">
      <c r="A34" s="259">
        <v>2010505</v>
      </c>
      <c r="B34" s="263" t="s">
        <v>390</v>
      </c>
      <c r="C34" s="261">
        <v>70</v>
      </c>
      <c r="D34" s="261">
        <f t="shared" si="1"/>
        <v>70</v>
      </c>
      <c r="E34" s="262"/>
    </row>
    <row r="35" spans="1:7" ht="19.7" customHeight="1">
      <c r="A35" s="259">
        <v>2010508</v>
      </c>
      <c r="B35" s="263" t="s">
        <v>391</v>
      </c>
      <c r="C35" s="261">
        <v>76</v>
      </c>
      <c r="D35" s="261">
        <f t="shared" si="1"/>
        <v>76</v>
      </c>
      <c r="E35" s="262"/>
    </row>
    <row r="36" spans="1:7" ht="19.7" customHeight="1">
      <c r="A36" s="259">
        <v>20106</v>
      </c>
      <c r="B36" s="260" t="s">
        <v>392</v>
      </c>
      <c r="C36" s="261">
        <f>6898-2000</f>
        <v>4898</v>
      </c>
      <c r="D36" s="261">
        <f t="shared" si="1"/>
        <v>4800</v>
      </c>
      <c r="E36" s="262">
        <v>98</v>
      </c>
      <c r="G36" s="253">
        <v>2000</v>
      </c>
    </row>
    <row r="37" spans="1:7" ht="19.7" customHeight="1">
      <c r="A37" s="259">
        <v>2010601</v>
      </c>
      <c r="B37" s="263" t="s">
        <v>372</v>
      </c>
      <c r="C37" s="261">
        <v>2228</v>
      </c>
      <c r="D37" s="261">
        <f t="shared" si="1"/>
        <v>2228</v>
      </c>
      <c r="E37" s="262"/>
    </row>
    <row r="38" spans="1:7" ht="19.7" customHeight="1">
      <c r="A38" s="259">
        <v>2010602</v>
      </c>
      <c r="B38" s="263" t="s">
        <v>373</v>
      </c>
      <c r="C38" s="261">
        <v>726</v>
      </c>
      <c r="D38" s="261">
        <f t="shared" si="1"/>
        <v>722</v>
      </c>
      <c r="E38" s="262">
        <v>4</v>
      </c>
    </row>
    <row r="39" spans="1:7" ht="19.7" customHeight="1">
      <c r="A39" s="259">
        <v>2010605</v>
      </c>
      <c r="B39" s="263" t="s">
        <v>393</v>
      </c>
      <c r="C39" s="261">
        <v>24</v>
      </c>
      <c r="D39" s="261">
        <f t="shared" ref="D39:D69" si="2">+C39-E39</f>
        <v>0</v>
      </c>
      <c r="E39" s="262">
        <v>24</v>
      </c>
    </row>
    <row r="40" spans="1:7" ht="19.7" customHeight="1">
      <c r="A40" s="259">
        <v>2010606</v>
      </c>
      <c r="B40" s="263" t="s">
        <v>394</v>
      </c>
      <c r="C40" s="261">
        <v>18</v>
      </c>
      <c r="D40" s="261">
        <f t="shared" si="2"/>
        <v>18</v>
      </c>
      <c r="E40" s="262"/>
    </row>
    <row r="41" spans="1:7" ht="19.7" customHeight="1">
      <c r="A41" s="259">
        <v>2010607</v>
      </c>
      <c r="B41" s="263" t="s">
        <v>395</v>
      </c>
      <c r="C41" s="261">
        <v>14</v>
      </c>
      <c r="D41" s="261">
        <f t="shared" si="2"/>
        <v>14</v>
      </c>
      <c r="E41" s="262"/>
    </row>
    <row r="42" spans="1:7" ht="19.7" customHeight="1">
      <c r="A42" s="259">
        <v>2010608</v>
      </c>
      <c r="B42" s="263" t="s">
        <v>396</v>
      </c>
      <c r="C42" s="261">
        <v>585</v>
      </c>
      <c r="D42" s="261">
        <f t="shared" si="2"/>
        <v>585</v>
      </c>
      <c r="E42" s="262"/>
    </row>
    <row r="43" spans="1:7" ht="19.7" customHeight="1">
      <c r="A43" s="259">
        <v>2010699</v>
      </c>
      <c r="B43" s="263" t="s">
        <v>397</v>
      </c>
      <c r="C43" s="261">
        <f>3303-2000</f>
        <v>1303</v>
      </c>
      <c r="D43" s="261">
        <f t="shared" si="2"/>
        <v>1233</v>
      </c>
      <c r="E43" s="262">
        <v>70</v>
      </c>
    </row>
    <row r="44" spans="1:7" ht="19.7" customHeight="1">
      <c r="A44" s="259">
        <v>20107</v>
      </c>
      <c r="B44" s="260" t="s">
        <v>398</v>
      </c>
      <c r="C44" s="261">
        <v>2523</v>
      </c>
      <c r="D44" s="261">
        <f t="shared" si="2"/>
        <v>2523</v>
      </c>
      <c r="E44" s="262"/>
    </row>
    <row r="45" spans="1:7" ht="19.7" customHeight="1">
      <c r="A45" s="259">
        <v>2010701</v>
      </c>
      <c r="B45" s="263" t="s">
        <v>372</v>
      </c>
      <c r="C45" s="261">
        <v>21</v>
      </c>
      <c r="D45" s="261">
        <f t="shared" si="2"/>
        <v>21</v>
      </c>
      <c r="E45" s="262"/>
    </row>
    <row r="46" spans="1:7" ht="19.7" customHeight="1">
      <c r="A46" s="259">
        <v>2010702</v>
      </c>
      <c r="B46" s="263" t="s">
        <v>373</v>
      </c>
      <c r="C46" s="261">
        <v>2502</v>
      </c>
      <c r="D46" s="261">
        <f t="shared" si="2"/>
        <v>2502</v>
      </c>
      <c r="E46" s="262"/>
    </row>
    <row r="47" spans="1:7" ht="19.7" customHeight="1">
      <c r="A47" s="259">
        <v>20108</v>
      </c>
      <c r="B47" s="260" t="s">
        <v>399</v>
      </c>
      <c r="C47" s="261">
        <v>1226</v>
      </c>
      <c r="D47" s="261">
        <f t="shared" si="2"/>
        <v>1174</v>
      </c>
      <c r="E47" s="262">
        <v>52</v>
      </c>
    </row>
    <row r="48" spans="1:7" ht="19.7" customHeight="1">
      <c r="A48" s="259">
        <v>2010801</v>
      </c>
      <c r="B48" s="263" t="s">
        <v>372</v>
      </c>
      <c r="C48" s="261">
        <v>690</v>
      </c>
      <c r="D48" s="261">
        <f t="shared" si="2"/>
        <v>690</v>
      </c>
      <c r="E48" s="262"/>
    </row>
    <row r="49" spans="1:5" ht="19.7" customHeight="1">
      <c r="A49" s="259">
        <v>2010802</v>
      </c>
      <c r="B49" s="263" t="s">
        <v>373</v>
      </c>
      <c r="C49" s="261">
        <v>536</v>
      </c>
      <c r="D49" s="261">
        <f t="shared" si="2"/>
        <v>484</v>
      </c>
      <c r="E49" s="262">
        <v>52</v>
      </c>
    </row>
    <row r="50" spans="1:5" ht="19.7" customHeight="1">
      <c r="A50" s="259">
        <v>20110</v>
      </c>
      <c r="B50" s="260" t="s">
        <v>400</v>
      </c>
      <c r="C50" s="261">
        <v>231</v>
      </c>
      <c r="D50" s="261">
        <f t="shared" si="2"/>
        <v>124</v>
      </c>
      <c r="E50" s="262">
        <v>107</v>
      </c>
    </row>
    <row r="51" spans="1:5" ht="19.7" customHeight="1">
      <c r="A51" s="259">
        <v>2011002</v>
      </c>
      <c r="B51" s="263" t="s">
        <v>373</v>
      </c>
      <c r="C51" s="261">
        <v>5</v>
      </c>
      <c r="D51" s="261">
        <f t="shared" si="2"/>
        <v>5</v>
      </c>
      <c r="E51" s="262"/>
    </row>
    <row r="52" spans="1:5" ht="19.7" customHeight="1">
      <c r="A52" s="259">
        <v>2011006</v>
      </c>
      <c r="B52" s="263" t="s">
        <v>401</v>
      </c>
      <c r="C52" s="261">
        <v>62</v>
      </c>
      <c r="D52" s="261">
        <f t="shared" si="2"/>
        <v>0</v>
      </c>
      <c r="E52" s="262">
        <v>62</v>
      </c>
    </row>
    <row r="53" spans="1:5" ht="19.7" customHeight="1">
      <c r="A53" s="259">
        <v>2011008</v>
      </c>
      <c r="B53" s="263" t="s">
        <v>402</v>
      </c>
      <c r="C53" s="261">
        <v>146</v>
      </c>
      <c r="D53" s="261">
        <f t="shared" si="2"/>
        <v>119</v>
      </c>
      <c r="E53" s="262">
        <v>27</v>
      </c>
    </row>
    <row r="54" spans="1:5" ht="19.7" customHeight="1">
      <c r="A54" s="259">
        <v>2011099</v>
      </c>
      <c r="B54" s="263" t="s">
        <v>403</v>
      </c>
      <c r="C54" s="261">
        <v>18</v>
      </c>
      <c r="D54" s="261">
        <f t="shared" si="2"/>
        <v>0</v>
      </c>
      <c r="E54" s="262">
        <v>18</v>
      </c>
    </row>
    <row r="55" spans="1:5" ht="19.7" customHeight="1">
      <c r="A55" s="259">
        <v>20111</v>
      </c>
      <c r="B55" s="260" t="s">
        <v>404</v>
      </c>
      <c r="C55" s="261">
        <v>2911</v>
      </c>
      <c r="D55" s="261">
        <f t="shared" si="2"/>
        <v>2911</v>
      </c>
      <c r="E55" s="262"/>
    </row>
    <row r="56" spans="1:5" ht="19.7" customHeight="1">
      <c r="A56" s="259">
        <v>2011101</v>
      </c>
      <c r="B56" s="263" t="s">
        <v>372</v>
      </c>
      <c r="C56" s="261">
        <v>1681</v>
      </c>
      <c r="D56" s="261">
        <f t="shared" si="2"/>
        <v>1681</v>
      </c>
      <c r="E56" s="262"/>
    </row>
    <row r="57" spans="1:5" ht="19.7" customHeight="1">
      <c r="A57" s="259">
        <v>2011102</v>
      </c>
      <c r="B57" s="263" t="s">
        <v>373</v>
      </c>
      <c r="C57" s="261">
        <v>1230</v>
      </c>
      <c r="D57" s="261">
        <f t="shared" si="2"/>
        <v>1230</v>
      </c>
      <c r="E57" s="262"/>
    </row>
    <row r="58" spans="1:5" ht="19.7" customHeight="1">
      <c r="A58" s="259">
        <v>20113</v>
      </c>
      <c r="B58" s="260" t="s">
        <v>405</v>
      </c>
      <c r="C58" s="261">
        <v>3441</v>
      </c>
      <c r="D58" s="261">
        <f t="shared" si="2"/>
        <v>3441</v>
      </c>
      <c r="E58" s="262"/>
    </row>
    <row r="59" spans="1:5" ht="19.7" customHeight="1">
      <c r="A59" s="259">
        <v>2011301</v>
      </c>
      <c r="B59" s="263" t="s">
        <v>372</v>
      </c>
      <c r="C59" s="261">
        <v>1108</v>
      </c>
      <c r="D59" s="261">
        <f t="shared" si="2"/>
        <v>1108</v>
      </c>
      <c r="E59" s="262"/>
    </row>
    <row r="60" spans="1:5" ht="19.7" customHeight="1">
      <c r="A60" s="259">
        <v>2011303</v>
      </c>
      <c r="B60" s="263" t="s">
        <v>381</v>
      </c>
      <c r="C60" s="261">
        <v>255</v>
      </c>
      <c r="D60" s="261">
        <f t="shared" si="2"/>
        <v>255</v>
      </c>
      <c r="E60" s="262"/>
    </row>
    <row r="61" spans="1:5" ht="19.7" customHeight="1">
      <c r="A61" s="259">
        <v>2011308</v>
      </c>
      <c r="B61" s="263" t="s">
        <v>406</v>
      </c>
      <c r="C61" s="261">
        <v>1046</v>
      </c>
      <c r="D61" s="261">
        <f t="shared" si="2"/>
        <v>1046</v>
      </c>
      <c r="E61" s="262"/>
    </row>
    <row r="62" spans="1:5" ht="19.7" customHeight="1">
      <c r="A62" s="259">
        <v>2011350</v>
      </c>
      <c r="B62" s="263" t="s">
        <v>384</v>
      </c>
      <c r="C62" s="261">
        <v>371</v>
      </c>
      <c r="D62" s="261">
        <f t="shared" si="2"/>
        <v>371</v>
      </c>
      <c r="E62" s="262"/>
    </row>
    <row r="63" spans="1:5" ht="19.7" customHeight="1">
      <c r="A63" s="259">
        <v>2011399</v>
      </c>
      <c r="B63" s="263" t="s">
        <v>407</v>
      </c>
      <c r="C63" s="261">
        <v>661</v>
      </c>
      <c r="D63" s="261">
        <f t="shared" si="2"/>
        <v>661</v>
      </c>
      <c r="E63" s="262"/>
    </row>
    <row r="64" spans="1:5" ht="19.7" customHeight="1">
      <c r="A64" s="259">
        <v>20114</v>
      </c>
      <c r="B64" s="260" t="s">
        <v>408</v>
      </c>
      <c r="C64" s="261">
        <v>85</v>
      </c>
      <c r="D64" s="261">
        <f t="shared" si="2"/>
        <v>0</v>
      </c>
      <c r="E64" s="262">
        <v>85</v>
      </c>
    </row>
    <row r="65" spans="1:7" ht="19.7" customHeight="1">
      <c r="A65" s="259">
        <v>2011405</v>
      </c>
      <c r="B65" s="263" t="s">
        <v>409</v>
      </c>
      <c r="C65" s="261">
        <v>85</v>
      </c>
      <c r="D65" s="261">
        <f t="shared" si="2"/>
        <v>0</v>
      </c>
      <c r="E65" s="262">
        <v>85</v>
      </c>
    </row>
    <row r="66" spans="1:7" ht="19.7" customHeight="1">
      <c r="A66" s="259">
        <v>20115</v>
      </c>
      <c r="B66" s="260" t="s">
        <v>410</v>
      </c>
      <c r="C66" s="261">
        <f>5559-1000</f>
        <v>4559</v>
      </c>
      <c r="D66" s="261">
        <f t="shared" si="2"/>
        <v>4143</v>
      </c>
      <c r="E66" s="262">
        <v>416</v>
      </c>
      <c r="G66" s="253">
        <v>1000</v>
      </c>
    </row>
    <row r="67" spans="1:7" ht="19.7" customHeight="1">
      <c r="A67" s="259">
        <v>2011501</v>
      </c>
      <c r="B67" s="263" t="s">
        <v>372</v>
      </c>
      <c r="C67" s="261">
        <f>4251-1000</f>
        <v>3251</v>
      </c>
      <c r="D67" s="261">
        <f t="shared" si="2"/>
        <v>3251</v>
      </c>
      <c r="E67" s="262"/>
    </row>
    <row r="68" spans="1:7" ht="19.7" customHeight="1">
      <c r="A68" s="259">
        <v>2011502</v>
      </c>
      <c r="B68" s="263" t="s">
        <v>373</v>
      </c>
      <c r="C68" s="261">
        <v>2</v>
      </c>
      <c r="D68" s="261">
        <f t="shared" si="2"/>
        <v>2</v>
      </c>
      <c r="E68" s="262"/>
    </row>
    <row r="69" spans="1:7" ht="19.7" customHeight="1">
      <c r="A69" s="259">
        <v>2011504</v>
      </c>
      <c r="B69" s="263" t="s">
        <v>411</v>
      </c>
      <c r="C69" s="261">
        <v>1056</v>
      </c>
      <c r="D69" s="261">
        <f t="shared" si="2"/>
        <v>640</v>
      </c>
      <c r="E69" s="262">
        <v>416</v>
      </c>
    </row>
    <row r="70" spans="1:7" ht="19.7" customHeight="1">
      <c r="A70" s="259">
        <v>2011505</v>
      </c>
      <c r="B70" s="263" t="s">
        <v>412</v>
      </c>
      <c r="C70" s="261">
        <v>110</v>
      </c>
      <c r="D70" s="261">
        <f t="shared" ref="D70" si="3">+C70-E70</f>
        <v>110</v>
      </c>
      <c r="E70" s="262"/>
    </row>
    <row r="71" spans="1:7" ht="19.7" customHeight="1">
      <c r="A71" s="259">
        <v>2011506</v>
      </c>
      <c r="B71" s="263" t="s">
        <v>413</v>
      </c>
      <c r="C71" s="261">
        <v>81</v>
      </c>
      <c r="D71" s="261">
        <f t="shared" ref="D71:D102" si="4">+C71-E71</f>
        <v>81</v>
      </c>
      <c r="E71" s="262"/>
    </row>
    <row r="72" spans="1:7" ht="19.7" customHeight="1">
      <c r="A72" s="259">
        <v>2011507</v>
      </c>
      <c r="B72" s="263" t="s">
        <v>395</v>
      </c>
      <c r="C72" s="261">
        <v>59</v>
      </c>
      <c r="D72" s="261">
        <f t="shared" si="4"/>
        <v>59</v>
      </c>
      <c r="E72" s="262"/>
    </row>
    <row r="73" spans="1:7" ht="19.7" customHeight="1">
      <c r="A73" s="259">
        <v>20117</v>
      </c>
      <c r="B73" s="260" t="s">
        <v>414</v>
      </c>
      <c r="C73" s="261">
        <v>2595</v>
      </c>
      <c r="D73" s="261">
        <f t="shared" si="4"/>
        <v>2167</v>
      </c>
      <c r="E73" s="262">
        <v>428</v>
      </c>
    </row>
    <row r="74" spans="1:7" ht="19.7" customHeight="1">
      <c r="A74" s="259">
        <v>2011701</v>
      </c>
      <c r="B74" s="263" t="s">
        <v>372</v>
      </c>
      <c r="C74" s="261">
        <v>1023</v>
      </c>
      <c r="D74" s="261">
        <f t="shared" si="4"/>
        <v>1023</v>
      </c>
      <c r="E74" s="262"/>
    </row>
    <row r="75" spans="1:7" ht="19.7" customHeight="1">
      <c r="A75" s="259">
        <v>2011702</v>
      </c>
      <c r="B75" s="263" t="s">
        <v>373</v>
      </c>
      <c r="C75" s="261">
        <v>308</v>
      </c>
      <c r="D75" s="261">
        <f t="shared" si="4"/>
        <v>308</v>
      </c>
      <c r="E75" s="262"/>
    </row>
    <row r="76" spans="1:7" ht="19.7" customHeight="1">
      <c r="A76" s="259">
        <v>2011706</v>
      </c>
      <c r="B76" s="263" t="s">
        <v>415</v>
      </c>
      <c r="C76" s="261">
        <v>413</v>
      </c>
      <c r="D76" s="261">
        <f t="shared" si="4"/>
        <v>72</v>
      </c>
      <c r="E76" s="262">
        <v>341</v>
      </c>
    </row>
    <row r="77" spans="1:7" ht="19.7" customHeight="1">
      <c r="A77" s="259">
        <v>2011707</v>
      </c>
      <c r="B77" s="263" t="s">
        <v>416</v>
      </c>
      <c r="C77" s="261">
        <v>80</v>
      </c>
      <c r="D77" s="261">
        <f t="shared" si="4"/>
        <v>0</v>
      </c>
      <c r="E77" s="262">
        <v>80</v>
      </c>
    </row>
    <row r="78" spans="1:7" ht="19.7" customHeight="1">
      <c r="A78" s="259">
        <v>2011709</v>
      </c>
      <c r="B78" s="263" t="s">
        <v>417</v>
      </c>
      <c r="C78" s="261">
        <v>51</v>
      </c>
      <c r="D78" s="261">
        <f t="shared" si="4"/>
        <v>44</v>
      </c>
      <c r="E78" s="262">
        <v>7</v>
      </c>
    </row>
    <row r="79" spans="1:7" ht="19.7" customHeight="1">
      <c r="A79" s="259">
        <v>2011750</v>
      </c>
      <c r="B79" s="263" t="s">
        <v>384</v>
      </c>
      <c r="C79" s="261">
        <v>482</v>
      </c>
      <c r="D79" s="261">
        <f t="shared" si="4"/>
        <v>482</v>
      </c>
      <c r="E79" s="262"/>
    </row>
    <row r="80" spans="1:7" ht="19.7" customHeight="1">
      <c r="A80" s="259">
        <v>2011799</v>
      </c>
      <c r="B80" s="263" t="s">
        <v>418</v>
      </c>
      <c r="C80" s="261">
        <v>238</v>
      </c>
      <c r="D80" s="261">
        <f t="shared" si="4"/>
        <v>238</v>
      </c>
      <c r="E80" s="262"/>
    </row>
    <row r="81" spans="1:5" ht="19.7" customHeight="1">
      <c r="A81" s="259">
        <v>20123</v>
      </c>
      <c r="B81" s="260" t="s">
        <v>419</v>
      </c>
      <c r="C81" s="261">
        <v>5</v>
      </c>
      <c r="D81" s="261">
        <f t="shared" si="4"/>
        <v>0</v>
      </c>
      <c r="E81" s="262">
        <v>5</v>
      </c>
    </row>
    <row r="82" spans="1:5" ht="19.7" customHeight="1">
      <c r="A82" s="259">
        <v>2012304</v>
      </c>
      <c r="B82" s="263" t="s">
        <v>420</v>
      </c>
      <c r="C82" s="261">
        <v>5</v>
      </c>
      <c r="D82" s="261">
        <f t="shared" si="4"/>
        <v>0</v>
      </c>
      <c r="E82" s="262">
        <v>5</v>
      </c>
    </row>
    <row r="83" spans="1:5" ht="19.7" customHeight="1">
      <c r="A83" s="259">
        <v>20124</v>
      </c>
      <c r="B83" s="260" t="s">
        <v>421</v>
      </c>
      <c r="C83" s="261">
        <v>12</v>
      </c>
      <c r="D83" s="261">
        <f t="shared" si="4"/>
        <v>0</v>
      </c>
      <c r="E83" s="262">
        <v>12</v>
      </c>
    </row>
    <row r="84" spans="1:5" ht="19.7" customHeight="1">
      <c r="A84" s="259">
        <v>2012402</v>
      </c>
      <c r="B84" s="263" t="s">
        <v>373</v>
      </c>
      <c r="C84" s="261">
        <v>12</v>
      </c>
      <c r="D84" s="261">
        <f t="shared" si="4"/>
        <v>0</v>
      </c>
      <c r="E84" s="262">
        <v>12</v>
      </c>
    </row>
    <row r="85" spans="1:5" ht="19.7" customHeight="1">
      <c r="A85" s="259">
        <v>20125</v>
      </c>
      <c r="B85" s="260" t="s">
        <v>422</v>
      </c>
      <c r="C85" s="261">
        <v>220</v>
      </c>
      <c r="D85" s="261">
        <f t="shared" si="4"/>
        <v>216</v>
      </c>
      <c r="E85" s="262">
        <v>4</v>
      </c>
    </row>
    <row r="86" spans="1:5" ht="19.7" customHeight="1">
      <c r="A86" s="259">
        <v>2012501</v>
      </c>
      <c r="B86" s="263" t="s">
        <v>372</v>
      </c>
      <c r="C86" s="261">
        <v>197</v>
      </c>
      <c r="D86" s="261">
        <f t="shared" si="4"/>
        <v>197</v>
      </c>
      <c r="E86" s="262"/>
    </row>
    <row r="87" spans="1:5" ht="19.7" customHeight="1">
      <c r="A87" s="259">
        <v>2012502</v>
      </c>
      <c r="B87" s="263" t="s">
        <v>373</v>
      </c>
      <c r="C87" s="261">
        <v>19</v>
      </c>
      <c r="D87" s="261">
        <f t="shared" si="4"/>
        <v>19</v>
      </c>
      <c r="E87" s="262"/>
    </row>
    <row r="88" spans="1:5" ht="19.7" customHeight="1">
      <c r="A88" s="259">
        <v>2012506</v>
      </c>
      <c r="B88" s="263" t="s">
        <v>423</v>
      </c>
      <c r="C88" s="261">
        <v>4</v>
      </c>
      <c r="D88" s="261">
        <f t="shared" si="4"/>
        <v>0</v>
      </c>
      <c r="E88" s="262">
        <v>4</v>
      </c>
    </row>
    <row r="89" spans="1:5" ht="19.7" customHeight="1">
      <c r="A89" s="259">
        <v>20126</v>
      </c>
      <c r="B89" s="260" t="s">
        <v>424</v>
      </c>
      <c r="C89" s="261">
        <v>547</v>
      </c>
      <c r="D89" s="261">
        <f t="shared" si="4"/>
        <v>547</v>
      </c>
      <c r="E89" s="262"/>
    </row>
    <row r="90" spans="1:5" ht="19.7" customHeight="1">
      <c r="A90" s="259">
        <v>2012601</v>
      </c>
      <c r="B90" s="263" t="s">
        <v>372</v>
      </c>
      <c r="C90" s="261">
        <v>254</v>
      </c>
      <c r="D90" s="261">
        <f t="shared" si="4"/>
        <v>254</v>
      </c>
      <c r="E90" s="262"/>
    </row>
    <row r="91" spans="1:5" ht="19.7" customHeight="1">
      <c r="A91" s="259">
        <v>2012602</v>
      </c>
      <c r="B91" s="263" t="s">
        <v>373</v>
      </c>
      <c r="C91" s="261">
        <v>293</v>
      </c>
      <c r="D91" s="261">
        <f t="shared" si="4"/>
        <v>293</v>
      </c>
      <c r="E91" s="262"/>
    </row>
    <row r="92" spans="1:5" ht="19.7" customHeight="1">
      <c r="A92" s="259">
        <v>20128</v>
      </c>
      <c r="B92" s="260" t="s">
        <v>425</v>
      </c>
      <c r="C92" s="261">
        <v>895</v>
      </c>
      <c r="D92" s="261">
        <f t="shared" si="4"/>
        <v>895</v>
      </c>
      <c r="E92" s="262"/>
    </row>
    <row r="93" spans="1:5" ht="19.7" customHeight="1">
      <c r="A93" s="259">
        <v>2012801</v>
      </c>
      <c r="B93" s="263" t="s">
        <v>372</v>
      </c>
      <c r="C93" s="261">
        <v>640</v>
      </c>
      <c r="D93" s="261">
        <f t="shared" si="4"/>
        <v>640</v>
      </c>
      <c r="E93" s="262"/>
    </row>
    <row r="94" spans="1:5" ht="19.7" customHeight="1">
      <c r="A94" s="259">
        <v>2012802</v>
      </c>
      <c r="B94" s="263" t="s">
        <v>373</v>
      </c>
      <c r="C94" s="261">
        <v>125</v>
      </c>
      <c r="D94" s="261">
        <f t="shared" si="4"/>
        <v>125</v>
      </c>
      <c r="E94" s="262"/>
    </row>
    <row r="95" spans="1:5" ht="19.7" customHeight="1">
      <c r="A95" s="259">
        <v>2012803</v>
      </c>
      <c r="B95" s="263" t="s">
        <v>381</v>
      </c>
      <c r="C95" s="261">
        <v>18</v>
      </c>
      <c r="D95" s="261">
        <f t="shared" si="4"/>
        <v>18</v>
      </c>
      <c r="E95" s="262"/>
    </row>
    <row r="96" spans="1:5" ht="19.7" customHeight="1">
      <c r="A96" s="259">
        <v>2012804</v>
      </c>
      <c r="B96" s="263" t="s">
        <v>426</v>
      </c>
      <c r="C96" s="261">
        <v>22</v>
      </c>
      <c r="D96" s="261">
        <f t="shared" si="4"/>
        <v>22</v>
      </c>
      <c r="E96" s="262"/>
    </row>
    <row r="97" spans="1:5" ht="19.7" customHeight="1">
      <c r="A97" s="259">
        <v>2012899</v>
      </c>
      <c r="B97" s="263" t="s">
        <v>427</v>
      </c>
      <c r="C97" s="261">
        <v>90</v>
      </c>
      <c r="D97" s="261">
        <f t="shared" si="4"/>
        <v>90</v>
      </c>
      <c r="E97" s="262"/>
    </row>
    <row r="98" spans="1:5" ht="19.7" customHeight="1">
      <c r="A98" s="259">
        <v>20129</v>
      </c>
      <c r="B98" s="260" t="s">
        <v>428</v>
      </c>
      <c r="C98" s="261">
        <v>2007</v>
      </c>
      <c r="D98" s="261">
        <f t="shared" si="4"/>
        <v>1694</v>
      </c>
      <c r="E98" s="262">
        <v>313</v>
      </c>
    </row>
    <row r="99" spans="1:5" ht="19.7" customHeight="1">
      <c r="A99" s="259">
        <v>2012901</v>
      </c>
      <c r="B99" s="263" t="s">
        <v>372</v>
      </c>
      <c r="C99" s="261">
        <v>1213</v>
      </c>
      <c r="D99" s="261">
        <f t="shared" si="4"/>
        <v>1213</v>
      </c>
      <c r="E99" s="262"/>
    </row>
    <row r="100" spans="1:5" ht="19.7" customHeight="1">
      <c r="A100" s="259">
        <v>2012902</v>
      </c>
      <c r="B100" s="263" t="s">
        <v>373</v>
      </c>
      <c r="C100" s="261">
        <v>339</v>
      </c>
      <c r="D100" s="261">
        <f t="shared" si="4"/>
        <v>308</v>
      </c>
      <c r="E100" s="262">
        <v>31</v>
      </c>
    </row>
    <row r="101" spans="1:5" ht="19.7" customHeight="1">
      <c r="A101" s="259">
        <v>2012950</v>
      </c>
      <c r="B101" s="263" t="s">
        <v>384</v>
      </c>
      <c r="C101" s="261">
        <v>21</v>
      </c>
      <c r="D101" s="261">
        <f t="shared" si="4"/>
        <v>21</v>
      </c>
      <c r="E101" s="262"/>
    </row>
    <row r="102" spans="1:5" ht="19.7" customHeight="1">
      <c r="A102" s="259">
        <v>2012999</v>
      </c>
      <c r="B102" s="263" t="s">
        <v>429</v>
      </c>
      <c r="C102" s="261">
        <v>434</v>
      </c>
      <c r="D102" s="261">
        <f t="shared" si="4"/>
        <v>152</v>
      </c>
      <c r="E102" s="262">
        <v>282</v>
      </c>
    </row>
    <row r="103" spans="1:5" ht="19.7" customHeight="1">
      <c r="A103" s="259">
        <v>20131</v>
      </c>
      <c r="B103" s="260" t="s">
        <v>430</v>
      </c>
      <c r="C103" s="261">
        <v>4003</v>
      </c>
      <c r="D103" s="261">
        <f t="shared" ref="D103:D133" si="5">+C103-E103</f>
        <v>3973</v>
      </c>
      <c r="E103" s="262">
        <v>30</v>
      </c>
    </row>
    <row r="104" spans="1:5" ht="19.7" customHeight="1">
      <c r="A104" s="259">
        <v>2013101</v>
      </c>
      <c r="B104" s="263" t="s">
        <v>372</v>
      </c>
      <c r="C104" s="261">
        <v>2821</v>
      </c>
      <c r="D104" s="261">
        <f t="shared" si="5"/>
        <v>2821</v>
      </c>
      <c r="E104" s="262"/>
    </row>
    <row r="105" spans="1:5" ht="19.7" customHeight="1">
      <c r="A105" s="259">
        <v>2013102</v>
      </c>
      <c r="B105" s="263" t="s">
        <v>373</v>
      </c>
      <c r="C105" s="261">
        <v>934</v>
      </c>
      <c r="D105" s="261">
        <f t="shared" si="5"/>
        <v>934</v>
      </c>
      <c r="E105" s="262"/>
    </row>
    <row r="106" spans="1:5" ht="19.7" customHeight="1">
      <c r="A106" s="259">
        <v>2013103</v>
      </c>
      <c r="B106" s="263" t="s">
        <v>381</v>
      </c>
      <c r="C106" s="261">
        <v>39</v>
      </c>
      <c r="D106" s="261">
        <f t="shared" si="5"/>
        <v>39</v>
      </c>
      <c r="E106" s="262"/>
    </row>
    <row r="107" spans="1:5" ht="19.7" customHeight="1">
      <c r="A107" s="259">
        <v>2013199</v>
      </c>
      <c r="B107" s="263" t="s">
        <v>431</v>
      </c>
      <c r="C107" s="261">
        <v>209</v>
      </c>
      <c r="D107" s="261">
        <f t="shared" si="5"/>
        <v>179</v>
      </c>
      <c r="E107" s="262">
        <v>30</v>
      </c>
    </row>
    <row r="108" spans="1:5" ht="19.7" customHeight="1">
      <c r="A108" s="259">
        <v>20132</v>
      </c>
      <c r="B108" s="260" t="s">
        <v>432</v>
      </c>
      <c r="C108" s="261">
        <v>1002</v>
      </c>
      <c r="D108" s="261">
        <f t="shared" si="5"/>
        <v>1002</v>
      </c>
      <c r="E108" s="262"/>
    </row>
    <row r="109" spans="1:5" ht="19.7" customHeight="1">
      <c r="A109" s="259">
        <v>2013201</v>
      </c>
      <c r="B109" s="263" t="s">
        <v>372</v>
      </c>
      <c r="C109" s="261">
        <v>571</v>
      </c>
      <c r="D109" s="261">
        <f t="shared" si="5"/>
        <v>571</v>
      </c>
      <c r="E109" s="262"/>
    </row>
    <row r="110" spans="1:5" ht="19.7" customHeight="1">
      <c r="A110" s="259">
        <v>2013202</v>
      </c>
      <c r="B110" s="263" t="s">
        <v>373</v>
      </c>
      <c r="C110" s="261">
        <v>431</v>
      </c>
      <c r="D110" s="261">
        <f t="shared" si="5"/>
        <v>431</v>
      </c>
      <c r="E110" s="262"/>
    </row>
    <row r="111" spans="1:5" ht="19.7" customHeight="1">
      <c r="A111" s="259">
        <v>20133</v>
      </c>
      <c r="B111" s="260" t="s">
        <v>433</v>
      </c>
      <c r="C111" s="261">
        <v>637</v>
      </c>
      <c r="D111" s="261">
        <f t="shared" si="5"/>
        <v>633</v>
      </c>
      <c r="E111" s="262">
        <v>4</v>
      </c>
    </row>
    <row r="112" spans="1:5" ht="19.7" customHeight="1">
      <c r="A112" s="259">
        <v>2013301</v>
      </c>
      <c r="B112" s="263" t="s">
        <v>372</v>
      </c>
      <c r="C112" s="261">
        <v>581</v>
      </c>
      <c r="D112" s="261">
        <f t="shared" si="5"/>
        <v>581</v>
      </c>
      <c r="E112" s="262"/>
    </row>
    <row r="113" spans="1:5" ht="19.7" customHeight="1">
      <c r="A113" s="259">
        <v>2013302</v>
      </c>
      <c r="B113" s="263" t="s">
        <v>373</v>
      </c>
      <c r="C113" s="261">
        <v>2</v>
      </c>
      <c r="D113" s="261">
        <f t="shared" si="5"/>
        <v>2</v>
      </c>
      <c r="E113" s="262"/>
    </row>
    <row r="114" spans="1:5" ht="19.7" customHeight="1">
      <c r="A114" s="259">
        <v>2013399</v>
      </c>
      <c r="B114" s="263" t="s">
        <v>434</v>
      </c>
      <c r="C114" s="261">
        <v>54</v>
      </c>
      <c r="D114" s="261">
        <f t="shared" si="5"/>
        <v>50</v>
      </c>
      <c r="E114" s="262">
        <v>4</v>
      </c>
    </row>
    <row r="115" spans="1:5" ht="19.7" customHeight="1">
      <c r="A115" s="259">
        <v>20134</v>
      </c>
      <c r="B115" s="260" t="s">
        <v>435</v>
      </c>
      <c r="C115" s="261">
        <v>425</v>
      </c>
      <c r="D115" s="261">
        <f t="shared" si="5"/>
        <v>418</v>
      </c>
      <c r="E115" s="262">
        <v>7</v>
      </c>
    </row>
    <row r="116" spans="1:5" ht="19.7" customHeight="1">
      <c r="A116" s="259">
        <v>2013401</v>
      </c>
      <c r="B116" s="263" t="s">
        <v>372</v>
      </c>
      <c r="C116" s="261">
        <v>238</v>
      </c>
      <c r="D116" s="261">
        <f t="shared" si="5"/>
        <v>238</v>
      </c>
      <c r="E116" s="262"/>
    </row>
    <row r="117" spans="1:5" ht="19.7" customHeight="1">
      <c r="A117" s="259">
        <v>2013402</v>
      </c>
      <c r="B117" s="263" t="s">
        <v>373</v>
      </c>
      <c r="C117" s="261">
        <v>50</v>
      </c>
      <c r="D117" s="261">
        <f t="shared" si="5"/>
        <v>50</v>
      </c>
      <c r="E117" s="262"/>
    </row>
    <row r="118" spans="1:5" ht="19.7" customHeight="1">
      <c r="A118" s="259">
        <v>2013499</v>
      </c>
      <c r="B118" s="263" t="s">
        <v>436</v>
      </c>
      <c r="C118" s="261">
        <v>137</v>
      </c>
      <c r="D118" s="261">
        <f t="shared" si="5"/>
        <v>130</v>
      </c>
      <c r="E118" s="262">
        <v>7</v>
      </c>
    </row>
    <row r="119" spans="1:5" ht="19.7" customHeight="1">
      <c r="A119" s="259">
        <v>20136</v>
      </c>
      <c r="B119" s="260" t="s">
        <v>437</v>
      </c>
      <c r="C119" s="261">
        <v>127</v>
      </c>
      <c r="D119" s="261">
        <f t="shared" si="5"/>
        <v>120</v>
      </c>
      <c r="E119" s="262">
        <v>7</v>
      </c>
    </row>
    <row r="120" spans="1:5" ht="19.7" customHeight="1">
      <c r="A120" s="259">
        <v>2013601</v>
      </c>
      <c r="B120" s="263" t="s">
        <v>372</v>
      </c>
      <c r="C120" s="261">
        <v>49</v>
      </c>
      <c r="D120" s="261">
        <f t="shared" si="5"/>
        <v>49</v>
      </c>
      <c r="E120" s="262"/>
    </row>
    <row r="121" spans="1:5" ht="19.7" customHeight="1">
      <c r="A121" s="259">
        <v>2013602</v>
      </c>
      <c r="B121" s="263" t="s">
        <v>373</v>
      </c>
      <c r="C121" s="261">
        <v>78</v>
      </c>
      <c r="D121" s="261">
        <f t="shared" si="5"/>
        <v>71</v>
      </c>
      <c r="E121" s="262">
        <v>7</v>
      </c>
    </row>
    <row r="122" spans="1:5" ht="19.7" customHeight="1">
      <c r="A122" s="259">
        <v>20199</v>
      </c>
      <c r="B122" s="260" t="s">
        <v>438</v>
      </c>
      <c r="C122" s="261">
        <f>6615-5494</f>
        <v>1121</v>
      </c>
      <c r="D122" s="261">
        <f t="shared" si="5"/>
        <v>1042</v>
      </c>
      <c r="E122" s="262">
        <v>79</v>
      </c>
    </row>
    <row r="123" spans="1:5" ht="19.7" customHeight="1">
      <c r="A123" s="259">
        <v>2019999</v>
      </c>
      <c r="B123" s="263" t="s">
        <v>439</v>
      </c>
      <c r="C123" s="261">
        <f>6615-5494</f>
        <v>1121</v>
      </c>
      <c r="D123" s="261">
        <f t="shared" si="5"/>
        <v>1042</v>
      </c>
      <c r="E123" s="262">
        <v>79</v>
      </c>
    </row>
    <row r="124" spans="1:5" ht="19.7" customHeight="1">
      <c r="A124" s="259">
        <v>203</v>
      </c>
      <c r="B124" s="260" t="s">
        <v>440</v>
      </c>
      <c r="C124" s="261">
        <v>1220</v>
      </c>
      <c r="D124" s="261">
        <f t="shared" si="5"/>
        <v>1220</v>
      </c>
      <c r="E124" s="262"/>
    </row>
    <row r="125" spans="1:5" ht="19.7" customHeight="1">
      <c r="A125" s="259">
        <v>20301</v>
      </c>
      <c r="B125" s="260" t="s">
        <v>441</v>
      </c>
      <c r="C125" s="261">
        <v>564</v>
      </c>
      <c r="D125" s="261">
        <f t="shared" si="5"/>
        <v>564</v>
      </c>
      <c r="E125" s="262"/>
    </row>
    <row r="126" spans="1:5" ht="19.7" customHeight="1">
      <c r="A126" s="259">
        <v>2030101</v>
      </c>
      <c r="B126" s="263" t="s">
        <v>442</v>
      </c>
      <c r="C126" s="261">
        <v>564</v>
      </c>
      <c r="D126" s="261">
        <f t="shared" si="5"/>
        <v>564</v>
      </c>
      <c r="E126" s="262"/>
    </row>
    <row r="127" spans="1:5" ht="19.7" customHeight="1">
      <c r="A127" s="259">
        <v>20306</v>
      </c>
      <c r="B127" s="260" t="s">
        <v>443</v>
      </c>
      <c r="C127" s="261">
        <v>656</v>
      </c>
      <c r="D127" s="261">
        <f t="shared" si="5"/>
        <v>656</v>
      </c>
      <c r="E127" s="262"/>
    </row>
    <row r="128" spans="1:5" ht="19.7" customHeight="1">
      <c r="A128" s="259">
        <v>2030603</v>
      </c>
      <c r="B128" s="263" t="s">
        <v>444</v>
      </c>
      <c r="C128" s="261">
        <v>656</v>
      </c>
      <c r="D128" s="261">
        <f t="shared" si="5"/>
        <v>656</v>
      </c>
      <c r="E128" s="262"/>
    </row>
    <row r="129" spans="1:7" ht="19.7" customHeight="1">
      <c r="A129" s="259">
        <v>204</v>
      </c>
      <c r="B129" s="260" t="s">
        <v>445</v>
      </c>
      <c r="C129" s="261">
        <f>83186-2686</f>
        <v>80500</v>
      </c>
      <c r="D129" s="261">
        <f t="shared" si="5"/>
        <v>76629</v>
      </c>
      <c r="E129" s="262">
        <v>3871</v>
      </c>
      <c r="G129" s="253">
        <f>83186-80500</f>
        <v>2686</v>
      </c>
    </row>
    <row r="130" spans="1:7" ht="19.7" customHeight="1">
      <c r="A130" s="259">
        <v>20401</v>
      </c>
      <c r="B130" s="260" t="s">
        <v>446</v>
      </c>
      <c r="C130" s="261">
        <v>3053</v>
      </c>
      <c r="D130" s="261">
        <f t="shared" si="5"/>
        <v>3053</v>
      </c>
      <c r="E130" s="262"/>
    </row>
    <row r="131" spans="1:7" ht="19.7" customHeight="1">
      <c r="A131" s="259">
        <v>2040103</v>
      </c>
      <c r="B131" s="263" t="s">
        <v>447</v>
      </c>
      <c r="C131" s="261">
        <v>2186</v>
      </c>
      <c r="D131" s="261">
        <f t="shared" si="5"/>
        <v>2186</v>
      </c>
      <c r="E131" s="262"/>
    </row>
    <row r="132" spans="1:7" ht="19.7" customHeight="1">
      <c r="A132" s="259">
        <v>2040199</v>
      </c>
      <c r="B132" s="263" t="s">
        <v>448</v>
      </c>
      <c r="C132" s="261">
        <v>867</v>
      </c>
      <c r="D132" s="261">
        <f t="shared" si="5"/>
        <v>867</v>
      </c>
      <c r="E132" s="262"/>
    </row>
    <row r="133" spans="1:7" ht="19.7" customHeight="1">
      <c r="A133" s="259">
        <v>20402</v>
      </c>
      <c r="B133" s="260" t="s">
        <v>449</v>
      </c>
      <c r="C133" s="261">
        <f>65218-2686</f>
        <v>62532</v>
      </c>
      <c r="D133" s="261">
        <f t="shared" si="5"/>
        <v>59831</v>
      </c>
      <c r="E133" s="262">
        <v>2701</v>
      </c>
    </row>
    <row r="134" spans="1:7" ht="19.7" customHeight="1">
      <c r="A134" s="259">
        <v>2040201</v>
      </c>
      <c r="B134" s="263" t="s">
        <v>372</v>
      </c>
      <c r="C134" s="261">
        <v>27519</v>
      </c>
      <c r="D134" s="261">
        <f t="shared" ref="D134" si="6">+C134-E134</f>
        <v>27519</v>
      </c>
      <c r="E134" s="262"/>
    </row>
    <row r="135" spans="1:7" ht="19.7" customHeight="1">
      <c r="A135" s="259">
        <v>2040202</v>
      </c>
      <c r="B135" s="263" t="s">
        <v>373</v>
      </c>
      <c r="C135" s="261">
        <f>23591-2686</f>
        <v>20905</v>
      </c>
      <c r="D135" s="261">
        <f t="shared" ref="D135:D166" si="7">+C135-E135</f>
        <v>20817</v>
      </c>
      <c r="E135" s="262">
        <v>88</v>
      </c>
    </row>
    <row r="136" spans="1:7" ht="19.7" customHeight="1">
      <c r="A136" s="259">
        <v>2040203</v>
      </c>
      <c r="B136" s="263" t="s">
        <v>381</v>
      </c>
      <c r="C136" s="261">
        <v>94</v>
      </c>
      <c r="D136" s="261">
        <f t="shared" si="7"/>
        <v>94</v>
      </c>
      <c r="E136" s="262"/>
    </row>
    <row r="137" spans="1:7" ht="19.7" customHeight="1">
      <c r="A137" s="259">
        <v>2040204</v>
      </c>
      <c r="B137" s="263" t="s">
        <v>450</v>
      </c>
      <c r="C137" s="261">
        <v>550</v>
      </c>
      <c r="D137" s="261">
        <f t="shared" si="7"/>
        <v>530</v>
      </c>
      <c r="E137" s="262">
        <v>20</v>
      </c>
    </row>
    <row r="138" spans="1:7" ht="19.7" customHeight="1">
      <c r="A138" s="259">
        <v>2040205</v>
      </c>
      <c r="B138" s="263" t="s">
        <v>451</v>
      </c>
      <c r="C138" s="261">
        <v>35</v>
      </c>
      <c r="D138" s="261">
        <f t="shared" si="7"/>
        <v>30</v>
      </c>
      <c r="E138" s="262">
        <v>5</v>
      </c>
    </row>
    <row r="139" spans="1:7" ht="19.7" customHeight="1">
      <c r="A139" s="259">
        <v>2040206</v>
      </c>
      <c r="B139" s="263" t="s">
        <v>452</v>
      </c>
      <c r="C139" s="261">
        <v>2510</v>
      </c>
      <c r="D139" s="261">
        <f t="shared" si="7"/>
        <v>2510</v>
      </c>
      <c r="E139" s="262"/>
    </row>
    <row r="140" spans="1:7" ht="19.7" customHeight="1">
      <c r="A140" s="259">
        <v>2040207</v>
      </c>
      <c r="B140" s="263" t="s">
        <v>453</v>
      </c>
      <c r="C140" s="261">
        <v>25</v>
      </c>
      <c r="D140" s="261">
        <f t="shared" si="7"/>
        <v>25</v>
      </c>
      <c r="E140" s="262"/>
    </row>
    <row r="141" spans="1:7" ht="19.7" customHeight="1">
      <c r="A141" s="259">
        <v>2040208</v>
      </c>
      <c r="B141" s="263" t="s">
        <v>454</v>
      </c>
      <c r="C141" s="261">
        <v>721</v>
      </c>
      <c r="D141" s="261">
        <f t="shared" si="7"/>
        <v>0</v>
      </c>
      <c r="E141" s="262">
        <v>721</v>
      </c>
    </row>
    <row r="142" spans="1:7" ht="19.7" customHeight="1">
      <c r="A142" s="259">
        <v>2040210</v>
      </c>
      <c r="B142" s="263" t="s">
        <v>455</v>
      </c>
      <c r="C142" s="261">
        <v>6</v>
      </c>
      <c r="D142" s="261">
        <f t="shared" si="7"/>
        <v>6</v>
      </c>
      <c r="E142" s="262"/>
    </row>
    <row r="143" spans="1:7" ht="19.7" customHeight="1">
      <c r="A143" s="259">
        <v>2040211</v>
      </c>
      <c r="B143" s="263" t="s">
        <v>456</v>
      </c>
      <c r="C143" s="261">
        <v>201</v>
      </c>
      <c r="D143" s="261">
        <f t="shared" si="7"/>
        <v>100</v>
      </c>
      <c r="E143" s="262">
        <v>101</v>
      </c>
    </row>
    <row r="144" spans="1:7" ht="19.7" customHeight="1">
      <c r="A144" s="259">
        <v>2040212</v>
      </c>
      <c r="B144" s="263" t="s">
        <v>457</v>
      </c>
      <c r="C144" s="261">
        <v>7937</v>
      </c>
      <c r="D144" s="261">
        <f t="shared" si="7"/>
        <v>6360</v>
      </c>
      <c r="E144" s="262">
        <v>1577</v>
      </c>
    </row>
    <row r="145" spans="1:5" ht="19.7" customHeight="1">
      <c r="A145" s="259">
        <v>2040213</v>
      </c>
      <c r="B145" s="263" t="s">
        <v>458</v>
      </c>
      <c r="C145" s="261">
        <v>30</v>
      </c>
      <c r="D145" s="261">
        <f t="shared" si="7"/>
        <v>30</v>
      </c>
      <c r="E145" s="262"/>
    </row>
    <row r="146" spans="1:5" ht="19.7" customHeight="1">
      <c r="A146" s="259">
        <v>2040214</v>
      </c>
      <c r="B146" s="263" t="s">
        <v>459</v>
      </c>
      <c r="C146" s="261">
        <v>90</v>
      </c>
      <c r="D146" s="261">
        <f t="shared" si="7"/>
        <v>90</v>
      </c>
      <c r="E146" s="262"/>
    </row>
    <row r="147" spans="1:5" ht="19.7" customHeight="1">
      <c r="A147" s="259">
        <v>2040215</v>
      </c>
      <c r="B147" s="263" t="s">
        <v>460</v>
      </c>
      <c r="C147" s="261">
        <v>176</v>
      </c>
      <c r="D147" s="261">
        <f t="shared" si="7"/>
        <v>0</v>
      </c>
      <c r="E147" s="262">
        <v>176</v>
      </c>
    </row>
    <row r="148" spans="1:5" ht="19.7" customHeight="1">
      <c r="A148" s="259">
        <v>2040216</v>
      </c>
      <c r="B148" s="263" t="s">
        <v>461</v>
      </c>
      <c r="C148" s="261">
        <v>30</v>
      </c>
      <c r="D148" s="261">
        <f t="shared" si="7"/>
        <v>30</v>
      </c>
      <c r="E148" s="262"/>
    </row>
    <row r="149" spans="1:5" ht="19.7" customHeight="1">
      <c r="A149" s="259">
        <v>2040217</v>
      </c>
      <c r="B149" s="263" t="s">
        <v>462</v>
      </c>
      <c r="C149" s="261">
        <v>1513</v>
      </c>
      <c r="D149" s="261">
        <f t="shared" si="7"/>
        <v>1500</v>
      </c>
      <c r="E149" s="262">
        <v>13</v>
      </c>
    </row>
    <row r="150" spans="1:5" ht="19.7" customHeight="1">
      <c r="A150" s="259">
        <v>2040218</v>
      </c>
      <c r="B150" s="263" t="s">
        <v>463</v>
      </c>
      <c r="C150" s="261">
        <v>80</v>
      </c>
      <c r="D150" s="261">
        <f t="shared" si="7"/>
        <v>80</v>
      </c>
      <c r="E150" s="262"/>
    </row>
    <row r="151" spans="1:5" ht="19.7" customHeight="1">
      <c r="A151" s="259">
        <v>2040219</v>
      </c>
      <c r="B151" s="263" t="s">
        <v>395</v>
      </c>
      <c r="C151" s="261">
        <v>80</v>
      </c>
      <c r="D151" s="261">
        <f t="shared" si="7"/>
        <v>80</v>
      </c>
      <c r="E151" s="262"/>
    </row>
    <row r="152" spans="1:5" ht="19.7" customHeight="1">
      <c r="A152" s="259">
        <v>2040299</v>
      </c>
      <c r="B152" s="263" t="s">
        <v>464</v>
      </c>
      <c r="C152" s="261">
        <v>30</v>
      </c>
      <c r="D152" s="261">
        <f t="shared" si="7"/>
        <v>30</v>
      </c>
      <c r="E152" s="262"/>
    </row>
    <row r="153" spans="1:5" ht="19.7" customHeight="1">
      <c r="A153" s="259">
        <v>20403</v>
      </c>
      <c r="B153" s="260" t="s">
        <v>465</v>
      </c>
      <c r="C153" s="261">
        <v>292</v>
      </c>
      <c r="D153" s="261">
        <f t="shared" si="7"/>
        <v>292</v>
      </c>
      <c r="E153" s="262"/>
    </row>
    <row r="154" spans="1:5" ht="19.7" customHeight="1">
      <c r="A154" s="259">
        <v>2040301</v>
      </c>
      <c r="B154" s="263" t="s">
        <v>372</v>
      </c>
      <c r="C154" s="261">
        <v>149</v>
      </c>
      <c r="D154" s="261">
        <f t="shared" si="7"/>
        <v>149</v>
      </c>
      <c r="E154" s="262"/>
    </row>
    <row r="155" spans="1:5" ht="19.7" customHeight="1">
      <c r="A155" s="259">
        <v>2040302</v>
      </c>
      <c r="B155" s="263" t="s">
        <v>373</v>
      </c>
      <c r="C155" s="261">
        <v>143</v>
      </c>
      <c r="D155" s="261">
        <f t="shared" si="7"/>
        <v>143</v>
      </c>
      <c r="E155" s="262"/>
    </row>
    <row r="156" spans="1:5" ht="19.7" customHeight="1">
      <c r="A156" s="259">
        <v>20404</v>
      </c>
      <c r="B156" s="260" t="s">
        <v>466</v>
      </c>
      <c r="C156" s="261">
        <v>3343</v>
      </c>
      <c r="D156" s="261">
        <f t="shared" si="7"/>
        <v>3343</v>
      </c>
      <c r="E156" s="262"/>
    </row>
    <row r="157" spans="1:5" ht="19.7" customHeight="1">
      <c r="A157" s="259">
        <v>2040401</v>
      </c>
      <c r="B157" s="263" t="s">
        <v>372</v>
      </c>
      <c r="C157" s="261">
        <v>2413</v>
      </c>
      <c r="D157" s="261">
        <f t="shared" si="7"/>
        <v>2413</v>
      </c>
      <c r="E157" s="262"/>
    </row>
    <row r="158" spans="1:5" ht="19.7" customHeight="1">
      <c r="A158" s="259">
        <v>2040402</v>
      </c>
      <c r="B158" s="263" t="s">
        <v>373</v>
      </c>
      <c r="C158" s="261">
        <v>336</v>
      </c>
      <c r="D158" s="261">
        <f t="shared" si="7"/>
        <v>336</v>
      </c>
      <c r="E158" s="262"/>
    </row>
    <row r="159" spans="1:5" ht="19.7" customHeight="1">
      <c r="A159" s="259">
        <v>2040403</v>
      </c>
      <c r="B159" s="263" t="s">
        <v>381</v>
      </c>
      <c r="C159" s="261">
        <v>119</v>
      </c>
      <c r="D159" s="261">
        <f t="shared" si="7"/>
        <v>119</v>
      </c>
      <c r="E159" s="262"/>
    </row>
    <row r="160" spans="1:5" ht="19.7" customHeight="1">
      <c r="A160" s="259">
        <v>2040404</v>
      </c>
      <c r="B160" s="263" t="s">
        <v>467</v>
      </c>
      <c r="C160" s="261">
        <v>320</v>
      </c>
      <c r="D160" s="261">
        <f t="shared" si="7"/>
        <v>320</v>
      </c>
      <c r="E160" s="262"/>
    </row>
    <row r="161" spans="1:5" ht="19.7" customHeight="1">
      <c r="A161" s="259">
        <v>2040405</v>
      </c>
      <c r="B161" s="263" t="s">
        <v>468</v>
      </c>
      <c r="C161" s="261">
        <v>95</v>
      </c>
      <c r="D161" s="261">
        <f t="shared" si="7"/>
        <v>95</v>
      </c>
      <c r="E161" s="262"/>
    </row>
    <row r="162" spans="1:5" ht="19.7" customHeight="1">
      <c r="A162" s="259">
        <v>2040407</v>
      </c>
      <c r="B162" s="263" t="s">
        <v>469</v>
      </c>
      <c r="C162" s="261">
        <v>50</v>
      </c>
      <c r="D162" s="261">
        <f t="shared" si="7"/>
        <v>50</v>
      </c>
      <c r="E162" s="262"/>
    </row>
    <row r="163" spans="1:5" ht="19.7" customHeight="1">
      <c r="A163" s="259">
        <v>2040499</v>
      </c>
      <c r="B163" s="263" t="s">
        <v>470</v>
      </c>
      <c r="C163" s="261">
        <v>10</v>
      </c>
      <c r="D163" s="261">
        <f t="shared" si="7"/>
        <v>10</v>
      </c>
      <c r="E163" s="262"/>
    </row>
    <row r="164" spans="1:5" ht="19.7" customHeight="1">
      <c r="A164" s="259">
        <v>20405</v>
      </c>
      <c r="B164" s="260" t="s">
        <v>471</v>
      </c>
      <c r="C164" s="261">
        <v>5503</v>
      </c>
      <c r="D164" s="261">
        <f t="shared" si="7"/>
        <v>5503</v>
      </c>
      <c r="E164" s="262"/>
    </row>
    <row r="165" spans="1:5" ht="19.7" customHeight="1">
      <c r="A165" s="259">
        <v>2040501</v>
      </c>
      <c r="B165" s="263" t="s">
        <v>372</v>
      </c>
      <c r="C165" s="261">
        <v>2381</v>
      </c>
      <c r="D165" s="261">
        <f t="shared" si="7"/>
        <v>2381</v>
      </c>
      <c r="E165" s="262"/>
    </row>
    <row r="166" spans="1:5" ht="19.7" customHeight="1">
      <c r="A166" s="259">
        <v>2040502</v>
      </c>
      <c r="B166" s="263" t="s">
        <v>373</v>
      </c>
      <c r="C166" s="261">
        <v>1471</v>
      </c>
      <c r="D166" s="261">
        <f t="shared" si="7"/>
        <v>1471</v>
      </c>
      <c r="E166" s="262"/>
    </row>
    <row r="167" spans="1:5" ht="19.7" customHeight="1">
      <c r="A167" s="259">
        <v>2040506</v>
      </c>
      <c r="B167" s="263" t="s">
        <v>472</v>
      </c>
      <c r="C167" s="261">
        <v>1651</v>
      </c>
      <c r="D167" s="261">
        <f t="shared" ref="D167:D197" si="8">+C167-E167</f>
        <v>1651</v>
      </c>
      <c r="E167" s="262"/>
    </row>
    <row r="168" spans="1:5" ht="19.7" customHeight="1">
      <c r="A168" s="259">
        <v>20406</v>
      </c>
      <c r="B168" s="260" t="s">
        <v>473</v>
      </c>
      <c r="C168" s="261">
        <v>1329</v>
      </c>
      <c r="D168" s="261">
        <f t="shared" si="8"/>
        <v>1288</v>
      </c>
      <c r="E168" s="262">
        <v>41</v>
      </c>
    </row>
    <row r="169" spans="1:5" ht="19.7" customHeight="1">
      <c r="A169" s="259">
        <v>2040601</v>
      </c>
      <c r="B169" s="263" t="s">
        <v>372</v>
      </c>
      <c r="C169" s="261">
        <v>866</v>
      </c>
      <c r="D169" s="261">
        <f t="shared" si="8"/>
        <v>866</v>
      </c>
      <c r="E169" s="262"/>
    </row>
    <row r="170" spans="1:5" ht="19.7" customHeight="1">
      <c r="A170" s="259">
        <v>2040602</v>
      </c>
      <c r="B170" s="263" t="s">
        <v>373</v>
      </c>
      <c r="C170" s="261">
        <v>427</v>
      </c>
      <c r="D170" s="261">
        <f t="shared" si="8"/>
        <v>386</v>
      </c>
      <c r="E170" s="262">
        <v>41</v>
      </c>
    </row>
    <row r="171" spans="1:5" ht="19.7" customHeight="1">
      <c r="A171" s="259">
        <v>2040607</v>
      </c>
      <c r="B171" s="263" t="s">
        <v>474</v>
      </c>
      <c r="C171" s="261">
        <v>36</v>
      </c>
      <c r="D171" s="261">
        <f t="shared" si="8"/>
        <v>36</v>
      </c>
      <c r="E171" s="262"/>
    </row>
    <row r="172" spans="1:5" ht="19.7" customHeight="1">
      <c r="A172" s="259">
        <v>20408</v>
      </c>
      <c r="B172" s="260" t="s">
        <v>475</v>
      </c>
      <c r="C172" s="261">
        <v>1693</v>
      </c>
      <c r="D172" s="261">
        <f t="shared" si="8"/>
        <v>1608</v>
      </c>
      <c r="E172" s="262">
        <v>85</v>
      </c>
    </row>
    <row r="173" spans="1:5" ht="19.7" customHeight="1">
      <c r="A173" s="259">
        <v>2040801</v>
      </c>
      <c r="B173" s="263" t="s">
        <v>372</v>
      </c>
      <c r="C173" s="261">
        <v>1008</v>
      </c>
      <c r="D173" s="261">
        <f t="shared" si="8"/>
        <v>1008</v>
      </c>
      <c r="E173" s="262"/>
    </row>
    <row r="174" spans="1:5" ht="19.7" customHeight="1">
      <c r="A174" s="259">
        <v>2040802</v>
      </c>
      <c r="B174" s="263" t="s">
        <v>373</v>
      </c>
      <c r="C174" s="261">
        <v>188</v>
      </c>
      <c r="D174" s="261">
        <f t="shared" si="8"/>
        <v>188</v>
      </c>
      <c r="E174" s="262"/>
    </row>
    <row r="175" spans="1:5" ht="19.7" customHeight="1">
      <c r="A175" s="259">
        <v>2040804</v>
      </c>
      <c r="B175" s="263" t="s">
        <v>476</v>
      </c>
      <c r="C175" s="261">
        <v>240</v>
      </c>
      <c r="D175" s="261">
        <f t="shared" si="8"/>
        <v>240</v>
      </c>
      <c r="E175" s="262"/>
    </row>
    <row r="176" spans="1:5" ht="19.7" customHeight="1">
      <c r="A176" s="259">
        <v>2040806</v>
      </c>
      <c r="B176" s="263" t="s">
        <v>477</v>
      </c>
      <c r="C176" s="261">
        <v>95</v>
      </c>
      <c r="D176" s="261">
        <f t="shared" si="8"/>
        <v>10</v>
      </c>
      <c r="E176" s="262">
        <v>85</v>
      </c>
    </row>
    <row r="177" spans="1:7" ht="19.7" customHeight="1">
      <c r="A177" s="259">
        <v>2040850</v>
      </c>
      <c r="B177" s="263" t="s">
        <v>384</v>
      </c>
      <c r="C177" s="261">
        <v>52</v>
      </c>
      <c r="D177" s="261">
        <f t="shared" si="8"/>
        <v>52</v>
      </c>
      <c r="E177" s="262"/>
    </row>
    <row r="178" spans="1:7" ht="19.7" customHeight="1">
      <c r="A178" s="259">
        <v>2040899</v>
      </c>
      <c r="B178" s="263" t="s">
        <v>478</v>
      </c>
      <c r="C178" s="261">
        <v>110</v>
      </c>
      <c r="D178" s="261">
        <f t="shared" si="8"/>
        <v>110</v>
      </c>
      <c r="E178" s="262"/>
    </row>
    <row r="179" spans="1:7" ht="19.7" customHeight="1">
      <c r="A179" s="259">
        <v>20409</v>
      </c>
      <c r="B179" s="260" t="s">
        <v>479</v>
      </c>
      <c r="C179" s="261">
        <v>368</v>
      </c>
      <c r="D179" s="261">
        <f t="shared" si="8"/>
        <v>368</v>
      </c>
      <c r="E179" s="262"/>
    </row>
    <row r="180" spans="1:7" ht="19.7" customHeight="1">
      <c r="A180" s="259">
        <v>2040901</v>
      </c>
      <c r="B180" s="263" t="s">
        <v>372</v>
      </c>
      <c r="C180" s="261">
        <v>99</v>
      </c>
      <c r="D180" s="261">
        <f t="shared" si="8"/>
        <v>99</v>
      </c>
      <c r="E180" s="262"/>
    </row>
    <row r="181" spans="1:7" ht="19.7" customHeight="1">
      <c r="A181" s="259">
        <v>2040902</v>
      </c>
      <c r="B181" s="263" t="s">
        <v>373</v>
      </c>
      <c r="C181" s="261">
        <v>269</v>
      </c>
      <c r="D181" s="261">
        <f t="shared" si="8"/>
        <v>269</v>
      </c>
      <c r="E181" s="262"/>
    </row>
    <row r="182" spans="1:7" ht="19.7" customHeight="1">
      <c r="A182" s="259">
        <v>20499</v>
      </c>
      <c r="B182" s="260" t="s">
        <v>480</v>
      </c>
      <c r="C182" s="261">
        <v>2387</v>
      </c>
      <c r="D182" s="261">
        <f t="shared" si="8"/>
        <v>1343</v>
      </c>
      <c r="E182" s="262">
        <v>1044</v>
      </c>
    </row>
    <row r="183" spans="1:7" ht="19.7" customHeight="1">
      <c r="A183" s="259">
        <v>2049901</v>
      </c>
      <c r="B183" s="263" t="s">
        <v>481</v>
      </c>
      <c r="C183" s="261">
        <v>2387</v>
      </c>
      <c r="D183" s="261">
        <f t="shared" si="8"/>
        <v>1343</v>
      </c>
      <c r="E183" s="262">
        <v>1044</v>
      </c>
    </row>
    <row r="184" spans="1:7" ht="19.7" customHeight="1">
      <c r="A184" s="259">
        <v>205</v>
      </c>
      <c r="B184" s="260" t="s">
        <v>482</v>
      </c>
      <c r="C184" s="261">
        <f>42993-4968</f>
        <v>38025</v>
      </c>
      <c r="D184" s="261">
        <f t="shared" si="8"/>
        <v>30975</v>
      </c>
      <c r="E184" s="262">
        <v>7050</v>
      </c>
      <c r="G184" s="253">
        <f>42993-38025</f>
        <v>4968</v>
      </c>
    </row>
    <row r="185" spans="1:7" ht="19.7" customHeight="1">
      <c r="A185" s="259">
        <v>20501</v>
      </c>
      <c r="B185" s="260" t="s">
        <v>483</v>
      </c>
      <c r="C185" s="261">
        <v>6368</v>
      </c>
      <c r="D185" s="261">
        <f t="shared" si="8"/>
        <v>6368</v>
      </c>
      <c r="E185" s="262"/>
    </row>
    <row r="186" spans="1:7" ht="19.7" customHeight="1">
      <c r="A186" s="259">
        <v>2050101</v>
      </c>
      <c r="B186" s="263" t="s">
        <v>372</v>
      </c>
      <c r="C186" s="261">
        <v>4755</v>
      </c>
      <c r="D186" s="261">
        <f t="shared" si="8"/>
        <v>4755</v>
      </c>
      <c r="E186" s="262"/>
    </row>
    <row r="187" spans="1:7" ht="19.7" customHeight="1">
      <c r="A187" s="259">
        <v>2050102</v>
      </c>
      <c r="B187" s="263" t="s">
        <v>373</v>
      </c>
      <c r="C187" s="261">
        <v>24</v>
      </c>
      <c r="D187" s="261">
        <f t="shared" si="8"/>
        <v>24</v>
      </c>
      <c r="E187" s="262"/>
    </row>
    <row r="188" spans="1:7" ht="19.7" customHeight="1">
      <c r="A188" s="259">
        <v>2050199</v>
      </c>
      <c r="B188" s="263" t="s">
        <v>484</v>
      </c>
      <c r="C188" s="261">
        <v>1589</v>
      </c>
      <c r="D188" s="261">
        <f t="shared" si="8"/>
        <v>1589</v>
      </c>
      <c r="E188" s="262"/>
    </row>
    <row r="189" spans="1:7" ht="19.7" customHeight="1">
      <c r="A189" s="259">
        <v>20502</v>
      </c>
      <c r="B189" s="260" t="s">
        <v>485</v>
      </c>
      <c r="C189" s="261">
        <v>9312</v>
      </c>
      <c r="D189" s="261">
        <f t="shared" si="8"/>
        <v>7408</v>
      </c>
      <c r="E189" s="262">
        <v>1904</v>
      </c>
    </row>
    <row r="190" spans="1:7" ht="19.7" customHeight="1">
      <c r="A190" s="259">
        <v>2050201</v>
      </c>
      <c r="B190" s="263" t="s">
        <v>486</v>
      </c>
      <c r="C190" s="261">
        <v>543</v>
      </c>
      <c r="D190" s="261">
        <f t="shared" si="8"/>
        <v>542</v>
      </c>
      <c r="E190" s="262">
        <v>1</v>
      </c>
    </row>
    <row r="191" spans="1:7" ht="19.7" customHeight="1">
      <c r="A191" s="259">
        <v>2050203</v>
      </c>
      <c r="B191" s="263" t="s">
        <v>487</v>
      </c>
      <c r="C191" s="261">
        <v>704</v>
      </c>
      <c r="D191" s="261">
        <f t="shared" si="8"/>
        <v>343</v>
      </c>
      <c r="E191" s="262">
        <v>361</v>
      </c>
    </row>
    <row r="192" spans="1:7" ht="19.7" customHeight="1">
      <c r="A192" s="259">
        <v>2050204</v>
      </c>
      <c r="B192" s="263" t="s">
        <v>488</v>
      </c>
      <c r="C192" s="261">
        <v>1333</v>
      </c>
      <c r="D192" s="261">
        <f t="shared" si="8"/>
        <v>1250</v>
      </c>
      <c r="E192" s="262">
        <v>83</v>
      </c>
    </row>
    <row r="193" spans="1:5" ht="19.7" customHeight="1">
      <c r="A193" s="259">
        <v>2050205</v>
      </c>
      <c r="B193" s="263" t="s">
        <v>489</v>
      </c>
      <c r="C193" s="261">
        <v>5065</v>
      </c>
      <c r="D193" s="261">
        <f t="shared" si="8"/>
        <v>4558</v>
      </c>
      <c r="E193" s="262">
        <v>507</v>
      </c>
    </row>
    <row r="194" spans="1:5" ht="19.7" customHeight="1">
      <c r="A194" s="259">
        <v>2050299</v>
      </c>
      <c r="B194" s="263" t="s">
        <v>490</v>
      </c>
      <c r="C194" s="261">
        <v>1667</v>
      </c>
      <c r="D194" s="261">
        <f t="shared" si="8"/>
        <v>715</v>
      </c>
      <c r="E194" s="262">
        <v>952</v>
      </c>
    </row>
    <row r="195" spans="1:5" ht="19.7" customHeight="1">
      <c r="A195" s="259">
        <v>20503</v>
      </c>
      <c r="B195" s="260" t="s">
        <v>491</v>
      </c>
      <c r="C195" s="261">
        <v>16549</v>
      </c>
      <c r="D195" s="261">
        <f t="shared" si="8"/>
        <v>11533</v>
      </c>
      <c r="E195" s="262">
        <v>5016</v>
      </c>
    </row>
    <row r="196" spans="1:5" ht="19.7" customHeight="1">
      <c r="A196" s="259">
        <v>2050302</v>
      </c>
      <c r="B196" s="263" t="s">
        <v>492</v>
      </c>
      <c r="C196" s="261">
        <v>3341</v>
      </c>
      <c r="D196" s="261">
        <f t="shared" si="8"/>
        <v>3039</v>
      </c>
      <c r="E196" s="262">
        <v>302</v>
      </c>
    </row>
    <row r="197" spans="1:5" ht="19.7" customHeight="1">
      <c r="A197" s="259">
        <v>2050303</v>
      </c>
      <c r="B197" s="263" t="s">
        <v>493</v>
      </c>
      <c r="C197" s="261">
        <v>2438</v>
      </c>
      <c r="D197" s="261">
        <f t="shared" si="8"/>
        <v>1908</v>
      </c>
      <c r="E197" s="262">
        <v>530</v>
      </c>
    </row>
    <row r="198" spans="1:5" ht="19.7" customHeight="1">
      <c r="A198" s="259">
        <v>2050305</v>
      </c>
      <c r="B198" s="263" t="s">
        <v>494</v>
      </c>
      <c r="C198" s="261">
        <v>9322</v>
      </c>
      <c r="D198" s="261">
        <f t="shared" ref="D198" si="9">+C198-E198</f>
        <v>6086</v>
      </c>
      <c r="E198" s="262">
        <v>3236</v>
      </c>
    </row>
    <row r="199" spans="1:5" ht="19.7" customHeight="1">
      <c r="A199" s="259">
        <v>2050399</v>
      </c>
      <c r="B199" s="263" t="s">
        <v>495</v>
      </c>
      <c r="C199" s="261">
        <v>1448</v>
      </c>
      <c r="D199" s="261">
        <f t="shared" ref="D199:D230" si="10">+C199-E199</f>
        <v>500</v>
      </c>
      <c r="E199" s="262">
        <v>948</v>
      </c>
    </row>
    <row r="200" spans="1:5" ht="19.7" customHeight="1">
      <c r="A200" s="259">
        <v>20504</v>
      </c>
      <c r="B200" s="260" t="s">
        <v>496</v>
      </c>
      <c r="C200" s="261">
        <v>2</v>
      </c>
      <c r="D200" s="261">
        <f t="shared" si="10"/>
        <v>0</v>
      </c>
      <c r="E200" s="262">
        <v>2</v>
      </c>
    </row>
    <row r="201" spans="1:5" ht="19.7" customHeight="1">
      <c r="A201" s="259">
        <v>2050499</v>
      </c>
      <c r="B201" s="263" t="s">
        <v>497</v>
      </c>
      <c r="C201" s="261">
        <v>2</v>
      </c>
      <c r="D201" s="261">
        <f t="shared" si="10"/>
        <v>0</v>
      </c>
      <c r="E201" s="262">
        <v>2</v>
      </c>
    </row>
    <row r="202" spans="1:5" ht="19.7" customHeight="1">
      <c r="A202" s="259">
        <v>20505</v>
      </c>
      <c r="B202" s="260" t="s">
        <v>498</v>
      </c>
      <c r="C202" s="261">
        <v>1089</v>
      </c>
      <c r="D202" s="261">
        <f t="shared" si="10"/>
        <v>1089</v>
      </c>
      <c r="E202" s="262"/>
    </row>
    <row r="203" spans="1:5" ht="19.7" customHeight="1">
      <c r="A203" s="259">
        <v>2050501</v>
      </c>
      <c r="B203" s="263" t="s">
        <v>499</v>
      </c>
      <c r="C203" s="261">
        <v>1005</v>
      </c>
      <c r="D203" s="261">
        <f t="shared" si="10"/>
        <v>1005</v>
      </c>
      <c r="E203" s="262"/>
    </row>
    <row r="204" spans="1:5" ht="19.7" customHeight="1">
      <c r="A204" s="259">
        <v>2050599</v>
      </c>
      <c r="B204" s="263" t="s">
        <v>500</v>
      </c>
      <c r="C204" s="261">
        <v>84</v>
      </c>
      <c r="D204" s="261">
        <f t="shared" si="10"/>
        <v>84</v>
      </c>
      <c r="E204" s="262"/>
    </row>
    <row r="205" spans="1:5" ht="19.7" customHeight="1">
      <c r="A205" s="259">
        <v>20507</v>
      </c>
      <c r="B205" s="260" t="s">
        <v>501</v>
      </c>
      <c r="C205" s="261">
        <v>1118</v>
      </c>
      <c r="D205" s="261">
        <f t="shared" si="10"/>
        <v>990</v>
      </c>
      <c r="E205" s="262">
        <v>128</v>
      </c>
    </row>
    <row r="206" spans="1:5" ht="19.7" customHeight="1">
      <c r="A206" s="259">
        <v>2050701</v>
      </c>
      <c r="B206" s="263" t="s">
        <v>502</v>
      </c>
      <c r="C206" s="261">
        <v>1110</v>
      </c>
      <c r="D206" s="261">
        <f t="shared" si="10"/>
        <v>982</v>
      </c>
      <c r="E206" s="262">
        <v>128</v>
      </c>
    </row>
    <row r="207" spans="1:5" ht="19.7" customHeight="1">
      <c r="A207" s="259">
        <v>2050799</v>
      </c>
      <c r="B207" s="263" t="s">
        <v>503</v>
      </c>
      <c r="C207" s="261">
        <v>8</v>
      </c>
      <c r="D207" s="261">
        <f t="shared" si="10"/>
        <v>8</v>
      </c>
      <c r="E207" s="262"/>
    </row>
    <row r="208" spans="1:5" ht="19.7" customHeight="1">
      <c r="A208" s="259">
        <v>20508</v>
      </c>
      <c r="B208" s="260" t="s">
        <v>504</v>
      </c>
      <c r="C208" s="261">
        <v>2089</v>
      </c>
      <c r="D208" s="261">
        <f t="shared" si="10"/>
        <v>2089</v>
      </c>
      <c r="E208" s="262"/>
    </row>
    <row r="209" spans="1:7" ht="19.7" customHeight="1">
      <c r="A209" s="259">
        <v>2050802</v>
      </c>
      <c r="B209" s="263" t="s">
        <v>505</v>
      </c>
      <c r="C209" s="261">
        <v>2089</v>
      </c>
      <c r="D209" s="261">
        <f t="shared" si="10"/>
        <v>2089</v>
      </c>
      <c r="E209" s="262"/>
    </row>
    <row r="210" spans="1:7" ht="19.7" customHeight="1">
      <c r="A210" s="259">
        <v>20599</v>
      </c>
      <c r="B210" s="260" t="s">
        <v>506</v>
      </c>
      <c r="C210" s="261">
        <f>6466-4968</f>
        <v>1498</v>
      </c>
      <c r="D210" s="261">
        <f t="shared" si="10"/>
        <v>1498</v>
      </c>
      <c r="E210" s="262"/>
    </row>
    <row r="211" spans="1:7" ht="19.7" customHeight="1">
      <c r="A211" s="259">
        <v>2059999</v>
      </c>
      <c r="B211" s="263" t="s">
        <v>507</v>
      </c>
      <c r="C211" s="261">
        <f>6466-4968</f>
        <v>1498</v>
      </c>
      <c r="D211" s="261">
        <f t="shared" si="10"/>
        <v>1498</v>
      </c>
      <c r="E211" s="262"/>
    </row>
    <row r="212" spans="1:7" ht="19.7" customHeight="1">
      <c r="A212" s="259">
        <v>206</v>
      </c>
      <c r="B212" s="260" t="s">
        <v>508</v>
      </c>
      <c r="C212" s="261">
        <f>4698-148</f>
        <v>4550</v>
      </c>
      <c r="D212" s="261">
        <f t="shared" si="10"/>
        <v>4263</v>
      </c>
      <c r="E212" s="262">
        <v>287</v>
      </c>
      <c r="G212" s="253">
        <f>4698-4550</f>
        <v>148</v>
      </c>
    </row>
    <row r="213" spans="1:7" ht="19.7" customHeight="1">
      <c r="A213" s="259">
        <v>20601</v>
      </c>
      <c r="B213" s="260" t="s">
        <v>509</v>
      </c>
      <c r="C213" s="261">
        <v>1528</v>
      </c>
      <c r="D213" s="261">
        <f t="shared" si="10"/>
        <v>1528</v>
      </c>
      <c r="E213" s="262"/>
    </row>
    <row r="214" spans="1:7" ht="19.7" customHeight="1">
      <c r="A214" s="259">
        <v>2060101</v>
      </c>
      <c r="B214" s="263" t="s">
        <v>372</v>
      </c>
      <c r="C214" s="261">
        <v>545</v>
      </c>
      <c r="D214" s="261">
        <f t="shared" si="10"/>
        <v>545</v>
      </c>
      <c r="E214" s="262"/>
    </row>
    <row r="215" spans="1:7" ht="19.7" customHeight="1">
      <c r="A215" s="259">
        <v>2060102</v>
      </c>
      <c r="B215" s="263" t="s">
        <v>373</v>
      </c>
      <c r="C215" s="261">
        <v>179</v>
      </c>
      <c r="D215" s="261">
        <f t="shared" si="10"/>
        <v>179</v>
      </c>
      <c r="E215" s="262"/>
    </row>
    <row r="216" spans="1:7" ht="19.7" customHeight="1">
      <c r="A216" s="259">
        <v>2060103</v>
      </c>
      <c r="B216" s="263" t="s">
        <v>381</v>
      </c>
      <c r="C216" s="261">
        <v>179</v>
      </c>
      <c r="D216" s="261">
        <f t="shared" si="10"/>
        <v>179</v>
      </c>
      <c r="E216" s="262"/>
    </row>
    <row r="217" spans="1:7" ht="19.7" customHeight="1">
      <c r="A217" s="259">
        <v>2060199</v>
      </c>
      <c r="B217" s="263" t="s">
        <v>510</v>
      </c>
      <c r="C217" s="261">
        <v>625</v>
      </c>
      <c r="D217" s="261">
        <f t="shared" si="10"/>
        <v>625</v>
      </c>
      <c r="E217" s="262"/>
    </row>
    <row r="218" spans="1:7" ht="19.7" customHeight="1">
      <c r="A218" s="259">
        <v>20602</v>
      </c>
      <c r="B218" s="260" t="s">
        <v>511</v>
      </c>
      <c r="C218" s="261">
        <v>476</v>
      </c>
      <c r="D218" s="261">
        <f t="shared" si="10"/>
        <v>451</v>
      </c>
      <c r="E218" s="262">
        <v>25</v>
      </c>
    </row>
    <row r="219" spans="1:7" ht="19.7" customHeight="1">
      <c r="A219" s="264">
        <v>2060201</v>
      </c>
      <c r="B219" s="263" t="s">
        <v>512</v>
      </c>
      <c r="C219" s="261">
        <v>451</v>
      </c>
      <c r="D219" s="261">
        <f t="shared" si="10"/>
        <v>451</v>
      </c>
      <c r="E219" s="262"/>
    </row>
    <row r="220" spans="1:7" ht="19.7" customHeight="1">
      <c r="A220" s="264">
        <v>2060203</v>
      </c>
      <c r="B220" s="263" t="s">
        <v>513</v>
      </c>
      <c r="C220" s="261">
        <v>25</v>
      </c>
      <c r="D220" s="261">
        <f t="shared" si="10"/>
        <v>0</v>
      </c>
      <c r="E220" s="262">
        <v>25</v>
      </c>
    </row>
    <row r="221" spans="1:7" ht="19.7" customHeight="1">
      <c r="A221" s="264">
        <v>20604</v>
      </c>
      <c r="B221" s="260" t="s">
        <v>514</v>
      </c>
      <c r="C221" s="261">
        <v>175</v>
      </c>
      <c r="D221" s="261">
        <f t="shared" si="10"/>
        <v>33</v>
      </c>
      <c r="E221" s="262">
        <v>142</v>
      </c>
    </row>
    <row r="222" spans="1:7" ht="19.7" customHeight="1">
      <c r="A222" s="264">
        <v>2060402</v>
      </c>
      <c r="B222" s="263" t="s">
        <v>515</v>
      </c>
      <c r="C222" s="261">
        <v>50</v>
      </c>
      <c r="D222" s="261">
        <f t="shared" si="10"/>
        <v>0</v>
      </c>
      <c r="E222" s="262">
        <v>50</v>
      </c>
    </row>
    <row r="223" spans="1:7" ht="19.7" customHeight="1">
      <c r="A223" s="264">
        <v>2060404</v>
      </c>
      <c r="B223" s="263" t="s">
        <v>516</v>
      </c>
      <c r="C223" s="261">
        <v>105</v>
      </c>
      <c r="D223" s="261">
        <f t="shared" si="10"/>
        <v>13</v>
      </c>
      <c r="E223" s="262">
        <v>92</v>
      </c>
    </row>
    <row r="224" spans="1:7" ht="19.7" customHeight="1">
      <c r="A224" s="264">
        <v>2060499</v>
      </c>
      <c r="B224" s="263" t="s">
        <v>517</v>
      </c>
      <c r="C224" s="261">
        <v>20</v>
      </c>
      <c r="D224" s="261">
        <f t="shared" si="10"/>
        <v>20</v>
      </c>
      <c r="E224" s="262"/>
    </row>
    <row r="225" spans="1:7" ht="19.7" customHeight="1">
      <c r="A225" s="264">
        <v>20605</v>
      </c>
      <c r="B225" s="260" t="s">
        <v>518</v>
      </c>
      <c r="C225" s="261">
        <v>77</v>
      </c>
      <c r="D225" s="261">
        <f t="shared" si="10"/>
        <v>2</v>
      </c>
      <c r="E225" s="262">
        <v>75</v>
      </c>
    </row>
    <row r="226" spans="1:7" ht="19.7" customHeight="1">
      <c r="A226" s="264">
        <v>2060501</v>
      </c>
      <c r="B226" s="263" t="s">
        <v>512</v>
      </c>
      <c r="C226" s="261">
        <v>2</v>
      </c>
      <c r="D226" s="261">
        <f t="shared" si="10"/>
        <v>2</v>
      </c>
      <c r="E226" s="262"/>
    </row>
    <row r="227" spans="1:7" ht="19.7" customHeight="1">
      <c r="A227" s="264">
        <v>2060503</v>
      </c>
      <c r="B227" s="263" t="s">
        <v>519</v>
      </c>
      <c r="C227" s="261">
        <v>75</v>
      </c>
      <c r="D227" s="261">
        <f t="shared" si="10"/>
        <v>0</v>
      </c>
      <c r="E227" s="262">
        <v>75</v>
      </c>
    </row>
    <row r="228" spans="1:7" ht="19.7" customHeight="1">
      <c r="A228" s="264">
        <v>20606</v>
      </c>
      <c r="B228" s="260" t="s">
        <v>520</v>
      </c>
      <c r="C228" s="261">
        <v>130</v>
      </c>
      <c r="D228" s="261">
        <f t="shared" si="10"/>
        <v>120</v>
      </c>
      <c r="E228" s="262">
        <v>10</v>
      </c>
    </row>
    <row r="229" spans="1:7" ht="19.7" customHeight="1">
      <c r="A229" s="264">
        <v>2060601</v>
      </c>
      <c r="B229" s="263" t="s">
        <v>521</v>
      </c>
      <c r="C229" s="261">
        <v>120</v>
      </c>
      <c r="D229" s="261">
        <f t="shared" si="10"/>
        <v>120</v>
      </c>
      <c r="E229" s="262"/>
    </row>
    <row r="230" spans="1:7" ht="19.7" customHeight="1">
      <c r="A230" s="264">
        <v>2060699</v>
      </c>
      <c r="B230" s="263" t="s">
        <v>522</v>
      </c>
      <c r="C230" s="261">
        <v>10</v>
      </c>
      <c r="D230" s="261">
        <f t="shared" si="10"/>
        <v>0</v>
      </c>
      <c r="E230" s="262">
        <v>10</v>
      </c>
    </row>
    <row r="231" spans="1:7" ht="19.7" customHeight="1">
      <c r="A231" s="264">
        <v>20607</v>
      </c>
      <c r="B231" s="260" t="s">
        <v>523</v>
      </c>
      <c r="C231" s="261">
        <v>261</v>
      </c>
      <c r="D231" s="261">
        <f t="shared" ref="D231:D261" si="11">+C231-E231</f>
        <v>256</v>
      </c>
      <c r="E231" s="262">
        <v>5</v>
      </c>
    </row>
    <row r="232" spans="1:7" ht="19.7" customHeight="1">
      <c r="A232" s="264">
        <v>2060701</v>
      </c>
      <c r="B232" s="263" t="s">
        <v>512</v>
      </c>
      <c r="C232" s="261">
        <v>54</v>
      </c>
      <c r="D232" s="261">
        <f t="shared" si="11"/>
        <v>54</v>
      </c>
      <c r="E232" s="262"/>
    </row>
    <row r="233" spans="1:7" ht="19.7" customHeight="1">
      <c r="A233" s="264">
        <v>2060704</v>
      </c>
      <c r="B233" s="263" t="s">
        <v>524</v>
      </c>
      <c r="C233" s="261">
        <v>5</v>
      </c>
      <c r="D233" s="261">
        <f t="shared" si="11"/>
        <v>0</v>
      </c>
      <c r="E233" s="262">
        <v>5</v>
      </c>
    </row>
    <row r="234" spans="1:7" ht="19.7" customHeight="1">
      <c r="A234" s="264">
        <v>2060799</v>
      </c>
      <c r="B234" s="263" t="s">
        <v>525</v>
      </c>
      <c r="C234" s="261">
        <v>202</v>
      </c>
      <c r="D234" s="261">
        <f t="shared" si="11"/>
        <v>202</v>
      </c>
      <c r="E234" s="262"/>
    </row>
    <row r="235" spans="1:7" ht="19.7" customHeight="1">
      <c r="A235" s="264">
        <v>20609</v>
      </c>
      <c r="B235" s="260" t="s">
        <v>526</v>
      </c>
      <c r="C235" s="261">
        <v>1</v>
      </c>
      <c r="D235" s="261">
        <f t="shared" si="11"/>
        <v>0</v>
      </c>
      <c r="E235" s="262">
        <v>1</v>
      </c>
    </row>
    <row r="236" spans="1:7" ht="19.7" customHeight="1">
      <c r="A236" s="264">
        <v>2060902</v>
      </c>
      <c r="B236" s="263" t="s">
        <v>527</v>
      </c>
      <c r="C236" s="261">
        <v>1</v>
      </c>
      <c r="D236" s="261">
        <f t="shared" si="11"/>
        <v>0</v>
      </c>
      <c r="E236" s="262">
        <v>1</v>
      </c>
    </row>
    <row r="237" spans="1:7" ht="19.7" customHeight="1">
      <c r="A237" s="264">
        <v>20699</v>
      </c>
      <c r="B237" s="260" t="s">
        <v>528</v>
      </c>
      <c r="C237" s="261">
        <v>1902</v>
      </c>
      <c r="D237" s="261">
        <f t="shared" si="11"/>
        <v>1873</v>
      </c>
      <c r="E237" s="262">
        <v>29</v>
      </c>
    </row>
    <row r="238" spans="1:7" ht="19.7" customHeight="1">
      <c r="A238" s="264">
        <v>2069999</v>
      </c>
      <c r="B238" s="263" t="s">
        <v>529</v>
      </c>
      <c r="C238" s="261">
        <f>2050-148</f>
        <v>1902</v>
      </c>
      <c r="D238" s="261">
        <f t="shared" si="11"/>
        <v>1873</v>
      </c>
      <c r="E238" s="262">
        <v>29</v>
      </c>
    </row>
    <row r="239" spans="1:7" ht="19.7" customHeight="1">
      <c r="A239" s="264">
        <v>207</v>
      </c>
      <c r="B239" s="260" t="s">
        <v>530</v>
      </c>
      <c r="C239" s="261">
        <f>16313-613</f>
        <v>15700</v>
      </c>
      <c r="D239" s="261">
        <f t="shared" si="11"/>
        <v>14481</v>
      </c>
      <c r="E239" s="262">
        <v>1219</v>
      </c>
      <c r="G239" s="253">
        <f>16313-15700</f>
        <v>613</v>
      </c>
    </row>
    <row r="240" spans="1:7" ht="19.7" customHeight="1">
      <c r="A240" s="264">
        <v>20701</v>
      </c>
      <c r="B240" s="260" t="s">
        <v>531</v>
      </c>
      <c r="C240" s="261">
        <v>6646</v>
      </c>
      <c r="D240" s="261">
        <f t="shared" si="11"/>
        <v>6544</v>
      </c>
      <c r="E240" s="262">
        <v>102</v>
      </c>
    </row>
    <row r="241" spans="1:5" ht="19.7" customHeight="1">
      <c r="A241" s="264">
        <v>2070101</v>
      </c>
      <c r="B241" s="263" t="s">
        <v>372</v>
      </c>
      <c r="C241" s="261">
        <v>1233</v>
      </c>
      <c r="D241" s="261">
        <f t="shared" si="11"/>
        <v>1233</v>
      </c>
      <c r="E241" s="262"/>
    </row>
    <row r="242" spans="1:5" ht="19.7" customHeight="1">
      <c r="A242" s="264">
        <v>2070102</v>
      </c>
      <c r="B242" s="263" t="s">
        <v>373</v>
      </c>
      <c r="C242" s="261">
        <v>31</v>
      </c>
      <c r="D242" s="261">
        <f t="shared" si="11"/>
        <v>31</v>
      </c>
      <c r="E242" s="262"/>
    </row>
    <row r="243" spans="1:5" ht="19.7" customHeight="1">
      <c r="A243" s="264">
        <v>2070104</v>
      </c>
      <c r="B243" s="263" t="s">
        <v>532</v>
      </c>
      <c r="C243" s="261">
        <v>248</v>
      </c>
      <c r="D243" s="261">
        <f t="shared" si="11"/>
        <v>248</v>
      </c>
      <c r="E243" s="262"/>
    </row>
    <row r="244" spans="1:5" ht="19.7" customHeight="1">
      <c r="A244" s="264">
        <v>2070108</v>
      </c>
      <c r="B244" s="263" t="s">
        <v>533</v>
      </c>
      <c r="C244" s="261">
        <v>40</v>
      </c>
      <c r="D244" s="261">
        <f t="shared" si="11"/>
        <v>40</v>
      </c>
      <c r="E244" s="262"/>
    </row>
    <row r="245" spans="1:5" ht="19.7" customHeight="1">
      <c r="A245" s="264">
        <v>2070109</v>
      </c>
      <c r="B245" s="263" t="s">
        <v>534</v>
      </c>
      <c r="C245" s="261">
        <v>178</v>
      </c>
      <c r="D245" s="261">
        <f t="shared" si="11"/>
        <v>178</v>
      </c>
      <c r="E245" s="262"/>
    </row>
    <row r="246" spans="1:5" ht="19.7" customHeight="1">
      <c r="A246" s="264">
        <v>2070110</v>
      </c>
      <c r="B246" s="263" t="s">
        <v>535</v>
      </c>
      <c r="C246" s="261">
        <v>13</v>
      </c>
      <c r="D246" s="261">
        <f t="shared" si="11"/>
        <v>13</v>
      </c>
      <c r="E246" s="262"/>
    </row>
    <row r="247" spans="1:5" ht="19.7" customHeight="1">
      <c r="A247" s="264">
        <v>2070111</v>
      </c>
      <c r="B247" s="263" t="s">
        <v>536</v>
      </c>
      <c r="C247" s="261">
        <v>75</v>
      </c>
      <c r="D247" s="261">
        <f t="shared" si="11"/>
        <v>69</v>
      </c>
      <c r="E247" s="262">
        <v>6</v>
      </c>
    </row>
    <row r="248" spans="1:5" ht="19.7" customHeight="1">
      <c r="A248" s="264">
        <v>2070112</v>
      </c>
      <c r="B248" s="263" t="s">
        <v>537</v>
      </c>
      <c r="C248" s="261">
        <v>41</v>
      </c>
      <c r="D248" s="261">
        <f t="shared" si="11"/>
        <v>41</v>
      </c>
      <c r="E248" s="262"/>
    </row>
    <row r="249" spans="1:5" ht="19.7" customHeight="1">
      <c r="A249" s="264">
        <v>2070199</v>
      </c>
      <c r="B249" s="263" t="s">
        <v>538</v>
      </c>
      <c r="C249" s="261">
        <v>4787</v>
      </c>
      <c r="D249" s="261">
        <f t="shared" si="11"/>
        <v>4691</v>
      </c>
      <c r="E249" s="262">
        <v>96</v>
      </c>
    </row>
    <row r="250" spans="1:5" ht="19.7" customHeight="1">
      <c r="A250" s="264">
        <v>20702</v>
      </c>
      <c r="B250" s="260" t="s">
        <v>539</v>
      </c>
      <c r="C250" s="261">
        <v>1009</v>
      </c>
      <c r="D250" s="261">
        <f t="shared" si="11"/>
        <v>472</v>
      </c>
      <c r="E250" s="262">
        <v>537</v>
      </c>
    </row>
    <row r="251" spans="1:5" ht="19.7" customHeight="1">
      <c r="A251" s="264">
        <v>2070201</v>
      </c>
      <c r="B251" s="263" t="s">
        <v>372</v>
      </c>
      <c r="C251" s="261">
        <v>23</v>
      </c>
      <c r="D251" s="261">
        <f t="shared" si="11"/>
        <v>23</v>
      </c>
      <c r="E251" s="262"/>
    </row>
    <row r="252" spans="1:5" ht="19.7" customHeight="1">
      <c r="A252" s="264">
        <v>2070202</v>
      </c>
      <c r="B252" s="263" t="s">
        <v>373</v>
      </c>
      <c r="C252" s="261">
        <v>1</v>
      </c>
      <c r="D252" s="261">
        <f t="shared" si="11"/>
        <v>1</v>
      </c>
      <c r="E252" s="262"/>
    </row>
    <row r="253" spans="1:5" ht="19.7" customHeight="1">
      <c r="A253" s="264">
        <v>2070204</v>
      </c>
      <c r="B253" s="263" t="s">
        <v>540</v>
      </c>
      <c r="C253" s="261">
        <v>314</v>
      </c>
      <c r="D253" s="261">
        <f t="shared" si="11"/>
        <v>264</v>
      </c>
      <c r="E253" s="262">
        <v>50</v>
      </c>
    </row>
    <row r="254" spans="1:5" ht="19.7" customHeight="1">
      <c r="A254" s="264">
        <v>2070205</v>
      </c>
      <c r="B254" s="263" t="s">
        <v>541</v>
      </c>
      <c r="C254" s="261">
        <v>365</v>
      </c>
      <c r="D254" s="261">
        <f t="shared" si="11"/>
        <v>184</v>
      </c>
      <c r="E254" s="262">
        <v>181</v>
      </c>
    </row>
    <row r="255" spans="1:5" ht="19.7" customHeight="1">
      <c r="A255" s="264">
        <v>2070299</v>
      </c>
      <c r="B255" s="263" t="s">
        <v>542</v>
      </c>
      <c r="C255" s="261">
        <v>306</v>
      </c>
      <c r="D255" s="261">
        <f t="shared" si="11"/>
        <v>0</v>
      </c>
      <c r="E255" s="262">
        <v>306</v>
      </c>
    </row>
    <row r="256" spans="1:5" ht="19.7" customHeight="1">
      <c r="A256" s="264">
        <v>20703</v>
      </c>
      <c r="B256" s="260" t="s">
        <v>543</v>
      </c>
      <c r="C256" s="261">
        <v>834</v>
      </c>
      <c r="D256" s="261">
        <f t="shared" si="11"/>
        <v>775</v>
      </c>
      <c r="E256" s="262">
        <v>59</v>
      </c>
    </row>
    <row r="257" spans="1:5" ht="19.7" customHeight="1">
      <c r="A257" s="264">
        <v>2070301</v>
      </c>
      <c r="B257" s="263" t="s">
        <v>372</v>
      </c>
      <c r="C257" s="261">
        <v>200</v>
      </c>
      <c r="D257" s="261">
        <f t="shared" si="11"/>
        <v>200</v>
      </c>
      <c r="E257" s="262"/>
    </row>
    <row r="258" spans="1:5" ht="19.7" customHeight="1">
      <c r="A258" s="264">
        <v>2070305</v>
      </c>
      <c r="B258" s="263" t="s">
        <v>544</v>
      </c>
      <c r="C258" s="261">
        <v>200</v>
      </c>
      <c r="D258" s="261">
        <f t="shared" si="11"/>
        <v>200</v>
      </c>
      <c r="E258" s="262"/>
    </row>
    <row r="259" spans="1:5" ht="19.7" customHeight="1">
      <c r="A259" s="264">
        <v>2070306</v>
      </c>
      <c r="B259" s="263" t="s">
        <v>545</v>
      </c>
      <c r="C259" s="261">
        <v>24</v>
      </c>
      <c r="D259" s="261">
        <f t="shared" si="11"/>
        <v>24</v>
      </c>
      <c r="E259" s="262"/>
    </row>
    <row r="260" spans="1:5" ht="19.7" customHeight="1">
      <c r="A260" s="264">
        <v>2070307</v>
      </c>
      <c r="B260" s="263" t="s">
        <v>546</v>
      </c>
      <c r="C260" s="261">
        <v>113</v>
      </c>
      <c r="D260" s="261">
        <f t="shared" si="11"/>
        <v>113</v>
      </c>
      <c r="E260" s="262"/>
    </row>
    <row r="261" spans="1:5" ht="19.7" customHeight="1">
      <c r="A261" s="264">
        <v>2070308</v>
      </c>
      <c r="B261" s="263" t="s">
        <v>547</v>
      </c>
      <c r="C261" s="261">
        <v>118</v>
      </c>
      <c r="D261" s="261">
        <f t="shared" si="11"/>
        <v>118</v>
      </c>
      <c r="E261" s="262"/>
    </row>
    <row r="262" spans="1:5" ht="19.7" customHeight="1">
      <c r="A262" s="264">
        <v>2070399</v>
      </c>
      <c r="B262" s="263" t="s">
        <v>548</v>
      </c>
      <c r="C262" s="261">
        <v>179</v>
      </c>
      <c r="D262" s="261">
        <f t="shared" ref="D262" si="12">+C262-E262</f>
        <v>120</v>
      </c>
      <c r="E262" s="262">
        <v>59</v>
      </c>
    </row>
    <row r="263" spans="1:5" ht="19.7" customHeight="1">
      <c r="A263" s="264">
        <v>20704</v>
      </c>
      <c r="B263" s="260" t="s">
        <v>549</v>
      </c>
      <c r="C263" s="261">
        <v>2041</v>
      </c>
      <c r="D263" s="261">
        <f t="shared" ref="D263:D294" si="13">+C263-E263</f>
        <v>1964</v>
      </c>
      <c r="E263" s="262">
        <v>77</v>
      </c>
    </row>
    <row r="264" spans="1:5" ht="19.7" customHeight="1">
      <c r="A264" s="264">
        <v>2070402</v>
      </c>
      <c r="B264" s="263" t="s">
        <v>373</v>
      </c>
      <c r="C264" s="261">
        <v>1</v>
      </c>
      <c r="D264" s="261">
        <f t="shared" si="13"/>
        <v>1</v>
      </c>
      <c r="E264" s="262"/>
    </row>
    <row r="265" spans="1:5" ht="19.7" customHeight="1">
      <c r="A265" s="264">
        <v>2070404</v>
      </c>
      <c r="B265" s="263" t="s">
        <v>550</v>
      </c>
      <c r="C265" s="261">
        <v>24</v>
      </c>
      <c r="D265" s="261">
        <f t="shared" si="13"/>
        <v>24</v>
      </c>
      <c r="E265" s="262"/>
    </row>
    <row r="266" spans="1:5" ht="19.7" customHeight="1">
      <c r="A266" s="264">
        <v>2070405</v>
      </c>
      <c r="B266" s="263" t="s">
        <v>551</v>
      </c>
      <c r="C266" s="261">
        <v>1208</v>
      </c>
      <c r="D266" s="261">
        <f t="shared" si="13"/>
        <v>1208</v>
      </c>
      <c r="E266" s="262"/>
    </row>
    <row r="267" spans="1:5" ht="19.7" customHeight="1">
      <c r="A267" s="264">
        <v>2070407</v>
      </c>
      <c r="B267" s="263" t="s">
        <v>552</v>
      </c>
      <c r="C267" s="261">
        <v>17</v>
      </c>
      <c r="D267" s="261">
        <f t="shared" si="13"/>
        <v>17</v>
      </c>
      <c r="E267" s="262"/>
    </row>
    <row r="268" spans="1:5" ht="19.7" customHeight="1">
      <c r="A268" s="264">
        <v>2070408</v>
      </c>
      <c r="B268" s="263" t="s">
        <v>553</v>
      </c>
      <c r="C268" s="261">
        <v>471</v>
      </c>
      <c r="D268" s="261">
        <f t="shared" si="13"/>
        <v>471</v>
      </c>
      <c r="E268" s="262"/>
    </row>
    <row r="269" spans="1:5" ht="19.7" customHeight="1">
      <c r="A269" s="264">
        <v>2070499</v>
      </c>
      <c r="B269" s="263" t="s">
        <v>554</v>
      </c>
      <c r="C269" s="261">
        <v>320</v>
      </c>
      <c r="D269" s="261">
        <f t="shared" si="13"/>
        <v>243</v>
      </c>
      <c r="E269" s="262">
        <v>77</v>
      </c>
    </row>
    <row r="270" spans="1:5" ht="19.7" customHeight="1">
      <c r="A270" s="264">
        <v>20799</v>
      </c>
      <c r="B270" s="260" t="s">
        <v>555</v>
      </c>
      <c r="C270" s="261">
        <f>5783-613</f>
        <v>5170</v>
      </c>
      <c r="D270" s="261">
        <f t="shared" si="13"/>
        <v>4726</v>
      </c>
      <c r="E270" s="262">
        <v>444</v>
      </c>
    </row>
    <row r="271" spans="1:5" ht="19.7" customHeight="1">
      <c r="A271" s="264">
        <v>2079902</v>
      </c>
      <c r="B271" s="263" t="s">
        <v>556</v>
      </c>
      <c r="C271" s="261">
        <v>480</v>
      </c>
      <c r="D271" s="261">
        <f t="shared" si="13"/>
        <v>480</v>
      </c>
      <c r="E271" s="262"/>
    </row>
    <row r="272" spans="1:5" ht="19.7" customHeight="1">
      <c r="A272" s="264">
        <v>2079903</v>
      </c>
      <c r="B272" s="263" t="s">
        <v>557</v>
      </c>
      <c r="C272" s="261">
        <f>4765-613</f>
        <v>4152</v>
      </c>
      <c r="D272" s="261">
        <f t="shared" si="13"/>
        <v>4052</v>
      </c>
      <c r="E272" s="262">
        <v>100</v>
      </c>
    </row>
    <row r="273" spans="1:7" ht="19.7" customHeight="1">
      <c r="A273" s="264">
        <v>2079999</v>
      </c>
      <c r="B273" s="263" t="s">
        <v>558</v>
      </c>
      <c r="C273" s="261">
        <v>538</v>
      </c>
      <c r="D273" s="261">
        <f t="shared" si="13"/>
        <v>194</v>
      </c>
      <c r="E273" s="262">
        <v>344</v>
      </c>
    </row>
    <row r="274" spans="1:7" ht="19.7" customHeight="1">
      <c r="A274" s="264">
        <v>208</v>
      </c>
      <c r="B274" s="260" t="s">
        <v>559</v>
      </c>
      <c r="C274" s="261">
        <f>111291+366</f>
        <v>111657</v>
      </c>
      <c r="D274" s="261">
        <f t="shared" si="13"/>
        <v>62763</v>
      </c>
      <c r="E274" s="262">
        <v>48894</v>
      </c>
      <c r="G274" s="253">
        <f>111657-111291</f>
        <v>366</v>
      </c>
    </row>
    <row r="275" spans="1:7" ht="19.7" customHeight="1">
      <c r="A275" s="264">
        <v>20801</v>
      </c>
      <c r="B275" s="260" t="s">
        <v>560</v>
      </c>
      <c r="C275" s="261">
        <f>4037+366</f>
        <v>4403</v>
      </c>
      <c r="D275" s="261">
        <f t="shared" si="13"/>
        <v>4385</v>
      </c>
      <c r="E275" s="262">
        <v>18</v>
      </c>
    </row>
    <row r="276" spans="1:7" ht="19.7" customHeight="1">
      <c r="A276" s="264">
        <v>2080101</v>
      </c>
      <c r="B276" s="263" t="s">
        <v>372</v>
      </c>
      <c r="C276" s="261">
        <f>2351+366</f>
        <v>2717</v>
      </c>
      <c r="D276" s="261">
        <f t="shared" si="13"/>
        <v>2717</v>
      </c>
      <c r="E276" s="262"/>
    </row>
    <row r="277" spans="1:7" ht="19.7" customHeight="1">
      <c r="A277" s="264">
        <v>2080102</v>
      </c>
      <c r="B277" s="263" t="s">
        <v>373</v>
      </c>
      <c r="C277" s="261">
        <v>149</v>
      </c>
      <c r="D277" s="261">
        <f t="shared" si="13"/>
        <v>149</v>
      </c>
      <c r="E277" s="262"/>
    </row>
    <row r="278" spans="1:7" ht="19.7" customHeight="1">
      <c r="A278" s="264">
        <v>2080106</v>
      </c>
      <c r="B278" s="263" t="s">
        <v>561</v>
      </c>
      <c r="C278" s="261">
        <v>268</v>
      </c>
      <c r="D278" s="261">
        <f t="shared" si="13"/>
        <v>268</v>
      </c>
      <c r="E278" s="262"/>
    </row>
    <row r="279" spans="1:7" ht="19.7" customHeight="1">
      <c r="A279" s="264">
        <v>2080107</v>
      </c>
      <c r="B279" s="263" t="s">
        <v>562</v>
      </c>
      <c r="C279" s="261">
        <v>15</v>
      </c>
      <c r="D279" s="261">
        <f t="shared" si="13"/>
        <v>15</v>
      </c>
      <c r="E279" s="262"/>
    </row>
    <row r="280" spans="1:7" ht="19.7" customHeight="1">
      <c r="A280" s="264">
        <v>2080109</v>
      </c>
      <c r="B280" s="263" t="s">
        <v>563</v>
      </c>
      <c r="C280" s="261">
        <v>1176</v>
      </c>
      <c r="D280" s="261">
        <f t="shared" si="13"/>
        <v>1176</v>
      </c>
      <c r="E280" s="262"/>
    </row>
    <row r="281" spans="1:7" ht="19.7" customHeight="1">
      <c r="A281" s="264">
        <v>2080110</v>
      </c>
      <c r="B281" s="263" t="s">
        <v>564</v>
      </c>
      <c r="C281" s="261">
        <v>5</v>
      </c>
      <c r="D281" s="261">
        <f t="shared" si="13"/>
        <v>5</v>
      </c>
      <c r="E281" s="262"/>
    </row>
    <row r="282" spans="1:7" ht="19.7" customHeight="1">
      <c r="A282" s="264">
        <v>2080112</v>
      </c>
      <c r="B282" s="263" t="s">
        <v>565</v>
      </c>
      <c r="C282" s="261">
        <v>20</v>
      </c>
      <c r="D282" s="261">
        <f t="shared" si="13"/>
        <v>20</v>
      </c>
      <c r="E282" s="262"/>
    </row>
    <row r="283" spans="1:7" ht="19.7" customHeight="1">
      <c r="A283" s="264">
        <v>2080199</v>
      </c>
      <c r="B283" s="263" t="s">
        <v>566</v>
      </c>
      <c r="C283" s="261">
        <v>53</v>
      </c>
      <c r="D283" s="261">
        <f t="shared" si="13"/>
        <v>35</v>
      </c>
      <c r="E283" s="262">
        <v>18</v>
      </c>
    </row>
    <row r="284" spans="1:7" ht="19.7" customHeight="1">
      <c r="A284" s="264">
        <v>20802</v>
      </c>
      <c r="B284" s="260" t="s">
        <v>567</v>
      </c>
      <c r="C284" s="261">
        <v>1468</v>
      </c>
      <c r="D284" s="261">
        <f t="shared" si="13"/>
        <v>1410</v>
      </c>
      <c r="E284" s="262">
        <v>58</v>
      </c>
    </row>
    <row r="285" spans="1:7" ht="19.7" customHeight="1">
      <c r="A285" s="264">
        <v>2080201</v>
      </c>
      <c r="B285" s="263" t="s">
        <v>372</v>
      </c>
      <c r="C285" s="261">
        <v>858</v>
      </c>
      <c r="D285" s="261">
        <f t="shared" si="13"/>
        <v>858</v>
      </c>
      <c r="E285" s="262"/>
    </row>
    <row r="286" spans="1:7" ht="19.7" customHeight="1">
      <c r="A286" s="264">
        <v>2080202</v>
      </c>
      <c r="B286" s="263" t="s">
        <v>373</v>
      </c>
      <c r="C286" s="261">
        <v>142</v>
      </c>
      <c r="D286" s="261">
        <f t="shared" si="13"/>
        <v>142</v>
      </c>
      <c r="E286" s="262"/>
    </row>
    <row r="287" spans="1:7" ht="19.7" customHeight="1">
      <c r="A287" s="264">
        <v>2080204</v>
      </c>
      <c r="B287" s="263" t="s">
        <v>568</v>
      </c>
      <c r="C287" s="261">
        <v>85</v>
      </c>
      <c r="D287" s="261">
        <f t="shared" si="13"/>
        <v>85</v>
      </c>
      <c r="E287" s="262"/>
    </row>
    <row r="288" spans="1:7" ht="19.7" customHeight="1">
      <c r="A288" s="264">
        <v>2080205</v>
      </c>
      <c r="B288" s="263" t="s">
        <v>569</v>
      </c>
      <c r="C288" s="261">
        <v>39</v>
      </c>
      <c r="D288" s="261">
        <f t="shared" si="13"/>
        <v>39</v>
      </c>
      <c r="E288" s="262"/>
    </row>
    <row r="289" spans="1:5" ht="19.7" customHeight="1">
      <c r="A289" s="264">
        <v>2080206</v>
      </c>
      <c r="B289" s="263" t="s">
        <v>570</v>
      </c>
      <c r="C289" s="261">
        <v>2</v>
      </c>
      <c r="D289" s="261">
        <f t="shared" si="13"/>
        <v>2</v>
      </c>
      <c r="E289" s="262"/>
    </row>
    <row r="290" spans="1:5" ht="19.7" customHeight="1">
      <c r="A290" s="264">
        <v>2080207</v>
      </c>
      <c r="B290" s="263" t="s">
        <v>571</v>
      </c>
      <c r="C290" s="261">
        <v>78</v>
      </c>
      <c r="D290" s="261">
        <f t="shared" si="13"/>
        <v>51</v>
      </c>
      <c r="E290" s="262">
        <v>27</v>
      </c>
    </row>
    <row r="291" spans="1:5" ht="19.7" customHeight="1">
      <c r="A291" s="264">
        <v>2080208</v>
      </c>
      <c r="B291" s="263" t="s">
        <v>572</v>
      </c>
      <c r="C291" s="261">
        <v>3</v>
      </c>
      <c r="D291" s="261">
        <f t="shared" si="13"/>
        <v>3</v>
      </c>
      <c r="E291" s="262"/>
    </row>
    <row r="292" spans="1:5" ht="19.7" customHeight="1">
      <c r="A292" s="264">
        <v>2080299</v>
      </c>
      <c r="B292" s="263" t="s">
        <v>573</v>
      </c>
      <c r="C292" s="261">
        <v>261</v>
      </c>
      <c r="D292" s="261">
        <f t="shared" si="13"/>
        <v>230</v>
      </c>
      <c r="E292" s="262">
        <v>31</v>
      </c>
    </row>
    <row r="293" spans="1:5" ht="19.7" customHeight="1">
      <c r="A293" s="264">
        <v>20805</v>
      </c>
      <c r="B293" s="260" t="s">
        <v>574</v>
      </c>
      <c r="C293" s="261">
        <v>19435</v>
      </c>
      <c r="D293" s="261">
        <f t="shared" si="13"/>
        <v>18130</v>
      </c>
      <c r="E293" s="262">
        <v>1305</v>
      </c>
    </row>
    <row r="294" spans="1:5" ht="19.7" customHeight="1">
      <c r="A294" s="264">
        <v>2080501</v>
      </c>
      <c r="B294" s="263" t="s">
        <v>575</v>
      </c>
      <c r="C294" s="261">
        <v>2627</v>
      </c>
      <c r="D294" s="261">
        <f t="shared" si="13"/>
        <v>2627</v>
      </c>
      <c r="E294" s="262"/>
    </row>
    <row r="295" spans="1:5" ht="19.7" customHeight="1">
      <c r="A295" s="264">
        <v>2080502</v>
      </c>
      <c r="B295" s="263" t="s">
        <v>576</v>
      </c>
      <c r="C295" s="261">
        <v>756</v>
      </c>
      <c r="D295" s="261">
        <f t="shared" ref="D295:D325" si="14">+C295-E295</f>
        <v>756</v>
      </c>
      <c r="E295" s="262"/>
    </row>
    <row r="296" spans="1:5" ht="19.7" customHeight="1">
      <c r="A296" s="264">
        <v>2080503</v>
      </c>
      <c r="B296" s="263" t="s">
        <v>577</v>
      </c>
      <c r="C296" s="261">
        <v>1</v>
      </c>
      <c r="D296" s="261">
        <f t="shared" si="14"/>
        <v>1</v>
      </c>
      <c r="E296" s="262"/>
    </row>
    <row r="297" spans="1:5" ht="19.7" customHeight="1">
      <c r="A297" s="264">
        <v>2080505</v>
      </c>
      <c r="B297" s="263" t="s">
        <v>578</v>
      </c>
      <c r="C297" s="261">
        <v>706</v>
      </c>
      <c r="D297" s="261">
        <f t="shared" si="14"/>
        <v>706</v>
      </c>
      <c r="E297" s="262"/>
    </row>
    <row r="298" spans="1:5" ht="19.7" customHeight="1">
      <c r="A298" s="264">
        <v>2080507</v>
      </c>
      <c r="B298" s="263" t="s">
        <v>579</v>
      </c>
      <c r="C298" s="261">
        <v>15345</v>
      </c>
      <c r="D298" s="261">
        <f t="shared" si="14"/>
        <v>14040</v>
      </c>
      <c r="E298" s="262">
        <v>1305</v>
      </c>
    </row>
    <row r="299" spans="1:5" ht="19.7" customHeight="1">
      <c r="A299" s="264">
        <v>20806</v>
      </c>
      <c r="B299" s="260" t="s">
        <v>580</v>
      </c>
      <c r="C299" s="261">
        <v>3268</v>
      </c>
      <c r="D299" s="261">
        <f t="shared" si="14"/>
        <v>3268</v>
      </c>
      <c r="E299" s="262"/>
    </row>
    <row r="300" spans="1:5" ht="19.7" customHeight="1">
      <c r="A300" s="264">
        <v>2080699</v>
      </c>
      <c r="B300" s="263" t="s">
        <v>581</v>
      </c>
      <c r="C300" s="261">
        <v>3268</v>
      </c>
      <c r="D300" s="261">
        <f t="shared" si="14"/>
        <v>3268</v>
      </c>
      <c r="E300" s="262"/>
    </row>
    <row r="301" spans="1:5" ht="19.7" customHeight="1">
      <c r="A301" s="264">
        <v>20807</v>
      </c>
      <c r="B301" s="260" t="s">
        <v>582</v>
      </c>
      <c r="C301" s="261">
        <v>4055</v>
      </c>
      <c r="D301" s="261">
        <f t="shared" si="14"/>
        <v>213</v>
      </c>
      <c r="E301" s="262">
        <v>3842</v>
      </c>
    </row>
    <row r="302" spans="1:5" ht="19.7" customHeight="1">
      <c r="A302" s="264">
        <v>2080701</v>
      </c>
      <c r="B302" s="263" t="s">
        <v>583</v>
      </c>
      <c r="C302" s="261">
        <v>21</v>
      </c>
      <c r="D302" s="261">
        <f t="shared" si="14"/>
        <v>0</v>
      </c>
      <c r="E302" s="262">
        <v>21</v>
      </c>
    </row>
    <row r="303" spans="1:5" ht="19.7" customHeight="1">
      <c r="A303" s="264">
        <v>2080712</v>
      </c>
      <c r="B303" s="263" t="s">
        <v>584</v>
      </c>
      <c r="C303" s="261">
        <v>100</v>
      </c>
      <c r="D303" s="261">
        <f t="shared" si="14"/>
        <v>0</v>
      </c>
      <c r="E303" s="262">
        <v>100</v>
      </c>
    </row>
    <row r="304" spans="1:5" ht="19.7" customHeight="1">
      <c r="A304" s="264">
        <v>2080799</v>
      </c>
      <c r="B304" s="263" t="s">
        <v>585</v>
      </c>
      <c r="C304" s="261">
        <v>3934</v>
      </c>
      <c r="D304" s="261">
        <f t="shared" si="14"/>
        <v>213</v>
      </c>
      <c r="E304" s="262">
        <v>3721</v>
      </c>
    </row>
    <row r="305" spans="1:5" ht="19.7" customHeight="1">
      <c r="A305" s="264">
        <v>20808</v>
      </c>
      <c r="B305" s="260" t="s">
        <v>586</v>
      </c>
      <c r="C305" s="261">
        <v>3024</v>
      </c>
      <c r="D305" s="261">
        <f t="shared" si="14"/>
        <v>2018</v>
      </c>
      <c r="E305" s="262">
        <v>1006</v>
      </c>
    </row>
    <row r="306" spans="1:5" ht="19.7" customHeight="1">
      <c r="A306" s="264">
        <v>2080801</v>
      </c>
      <c r="B306" s="263" t="s">
        <v>587</v>
      </c>
      <c r="C306" s="261">
        <v>1464</v>
      </c>
      <c r="D306" s="261">
        <f t="shared" si="14"/>
        <v>1464</v>
      </c>
      <c r="E306" s="262"/>
    </row>
    <row r="307" spans="1:5" ht="19.7" customHeight="1">
      <c r="A307" s="264">
        <v>2080804</v>
      </c>
      <c r="B307" s="263" t="s">
        <v>588</v>
      </c>
      <c r="C307" s="261">
        <v>770</v>
      </c>
      <c r="D307" s="261">
        <f t="shared" si="14"/>
        <v>520</v>
      </c>
      <c r="E307" s="262">
        <v>250</v>
      </c>
    </row>
    <row r="308" spans="1:5" ht="19.7" customHeight="1">
      <c r="A308" s="264">
        <v>2080899</v>
      </c>
      <c r="B308" s="263" t="s">
        <v>589</v>
      </c>
      <c r="C308" s="261">
        <v>790</v>
      </c>
      <c r="D308" s="261">
        <f t="shared" si="14"/>
        <v>34</v>
      </c>
      <c r="E308" s="262">
        <v>756</v>
      </c>
    </row>
    <row r="309" spans="1:5" ht="19.7" customHeight="1">
      <c r="A309" s="264">
        <v>20809</v>
      </c>
      <c r="B309" s="260" t="s">
        <v>590</v>
      </c>
      <c r="C309" s="261">
        <v>3474</v>
      </c>
      <c r="D309" s="261">
        <f t="shared" si="14"/>
        <v>931</v>
      </c>
      <c r="E309" s="262">
        <v>2543</v>
      </c>
    </row>
    <row r="310" spans="1:5" ht="19.7" customHeight="1">
      <c r="A310" s="264">
        <v>2080901</v>
      </c>
      <c r="B310" s="263" t="s">
        <v>591</v>
      </c>
      <c r="C310" s="261">
        <v>15</v>
      </c>
      <c r="D310" s="261">
        <f t="shared" si="14"/>
        <v>0</v>
      </c>
      <c r="E310" s="262">
        <v>15</v>
      </c>
    </row>
    <row r="311" spans="1:5" ht="19.7" customHeight="1">
      <c r="A311" s="264">
        <v>2080902</v>
      </c>
      <c r="B311" s="263" t="s">
        <v>592</v>
      </c>
      <c r="C311" s="261">
        <v>2552</v>
      </c>
      <c r="D311" s="261">
        <f t="shared" si="14"/>
        <v>231</v>
      </c>
      <c r="E311" s="262">
        <v>2321</v>
      </c>
    </row>
    <row r="312" spans="1:5" ht="19.7" customHeight="1">
      <c r="A312" s="264">
        <v>2080903</v>
      </c>
      <c r="B312" s="263" t="s">
        <v>593</v>
      </c>
      <c r="C312" s="261">
        <v>885</v>
      </c>
      <c r="D312" s="261">
        <f t="shared" si="14"/>
        <v>687</v>
      </c>
      <c r="E312" s="262">
        <v>198</v>
      </c>
    </row>
    <row r="313" spans="1:5" ht="19.7" customHeight="1">
      <c r="A313" s="264">
        <v>2080904</v>
      </c>
      <c r="B313" s="263" t="s">
        <v>594</v>
      </c>
      <c r="C313" s="261">
        <v>9</v>
      </c>
      <c r="D313" s="261">
        <f t="shared" si="14"/>
        <v>0</v>
      </c>
      <c r="E313" s="262">
        <v>9</v>
      </c>
    </row>
    <row r="314" spans="1:5" ht="19.7" customHeight="1">
      <c r="A314" s="264">
        <v>2080999</v>
      </c>
      <c r="B314" s="263" t="s">
        <v>595</v>
      </c>
      <c r="C314" s="261">
        <v>13</v>
      </c>
      <c r="D314" s="261">
        <f t="shared" si="14"/>
        <v>13</v>
      </c>
      <c r="E314" s="262"/>
    </row>
    <row r="315" spans="1:5" ht="19.7" customHeight="1">
      <c r="A315" s="264">
        <v>20810</v>
      </c>
      <c r="B315" s="260" t="s">
        <v>596</v>
      </c>
      <c r="C315" s="261">
        <v>343</v>
      </c>
      <c r="D315" s="261">
        <f t="shared" si="14"/>
        <v>206</v>
      </c>
      <c r="E315" s="262">
        <v>137</v>
      </c>
    </row>
    <row r="316" spans="1:5" ht="19.7" customHeight="1">
      <c r="A316" s="264">
        <v>2081001</v>
      </c>
      <c r="B316" s="263" t="s">
        <v>597</v>
      </c>
      <c r="C316" s="261">
        <v>149</v>
      </c>
      <c r="D316" s="261">
        <f t="shared" si="14"/>
        <v>13</v>
      </c>
      <c r="E316" s="262">
        <v>136</v>
      </c>
    </row>
    <row r="317" spans="1:5" ht="19.7" customHeight="1">
      <c r="A317" s="264">
        <v>2081002</v>
      </c>
      <c r="B317" s="263" t="s">
        <v>598</v>
      </c>
      <c r="C317" s="261">
        <v>1</v>
      </c>
      <c r="D317" s="261">
        <f t="shared" si="14"/>
        <v>0</v>
      </c>
      <c r="E317" s="262">
        <v>1</v>
      </c>
    </row>
    <row r="318" spans="1:5" ht="19.7" customHeight="1">
      <c r="A318" s="264">
        <v>2081004</v>
      </c>
      <c r="B318" s="263" t="s">
        <v>599</v>
      </c>
      <c r="C318" s="261">
        <v>187</v>
      </c>
      <c r="D318" s="261">
        <f t="shared" si="14"/>
        <v>187</v>
      </c>
      <c r="E318" s="262"/>
    </row>
    <row r="319" spans="1:5" ht="19.7" customHeight="1">
      <c r="A319" s="264">
        <v>2081005</v>
      </c>
      <c r="B319" s="263" t="s">
        <v>600</v>
      </c>
      <c r="C319" s="261">
        <v>1</v>
      </c>
      <c r="D319" s="261">
        <f t="shared" si="14"/>
        <v>1</v>
      </c>
      <c r="E319" s="262"/>
    </row>
    <row r="320" spans="1:5" ht="19.7" customHeight="1">
      <c r="A320" s="264">
        <v>2081099</v>
      </c>
      <c r="B320" s="263" t="s">
        <v>601</v>
      </c>
      <c r="C320" s="261">
        <v>5</v>
      </c>
      <c r="D320" s="261">
        <f t="shared" si="14"/>
        <v>5</v>
      </c>
      <c r="E320" s="262"/>
    </row>
    <row r="321" spans="1:5" ht="19.7" customHeight="1">
      <c r="A321" s="264">
        <v>20811</v>
      </c>
      <c r="B321" s="260" t="s">
        <v>602</v>
      </c>
      <c r="C321" s="261">
        <v>923</v>
      </c>
      <c r="D321" s="261">
        <f t="shared" si="14"/>
        <v>853</v>
      </c>
      <c r="E321" s="262">
        <v>70</v>
      </c>
    </row>
    <row r="322" spans="1:5" ht="19.7" customHeight="1">
      <c r="A322" s="264">
        <v>2081101</v>
      </c>
      <c r="B322" s="263" t="s">
        <v>372</v>
      </c>
      <c r="C322" s="261">
        <v>296</v>
      </c>
      <c r="D322" s="261">
        <f t="shared" si="14"/>
        <v>296</v>
      </c>
      <c r="E322" s="262"/>
    </row>
    <row r="323" spans="1:5" ht="19.7" customHeight="1">
      <c r="A323" s="264">
        <v>2081102</v>
      </c>
      <c r="B323" s="263" t="s">
        <v>373</v>
      </c>
      <c r="C323" s="261">
        <v>70</v>
      </c>
      <c r="D323" s="261">
        <f t="shared" si="14"/>
        <v>70</v>
      </c>
      <c r="E323" s="262"/>
    </row>
    <row r="324" spans="1:5" ht="19.7" customHeight="1">
      <c r="A324" s="264">
        <v>2081103</v>
      </c>
      <c r="B324" s="263" t="s">
        <v>381</v>
      </c>
      <c r="C324" s="261">
        <v>50</v>
      </c>
      <c r="D324" s="261">
        <f t="shared" si="14"/>
        <v>50</v>
      </c>
      <c r="E324" s="262"/>
    </row>
    <row r="325" spans="1:5" ht="19.7" customHeight="1">
      <c r="A325" s="264">
        <v>2081104</v>
      </c>
      <c r="B325" s="263" t="s">
        <v>603</v>
      </c>
      <c r="C325" s="261">
        <v>84</v>
      </c>
      <c r="D325" s="261">
        <f t="shared" si="14"/>
        <v>20</v>
      </c>
      <c r="E325" s="262">
        <v>64</v>
      </c>
    </row>
    <row r="326" spans="1:5" ht="19.7" customHeight="1">
      <c r="A326" s="264">
        <v>2081105</v>
      </c>
      <c r="B326" s="263" t="s">
        <v>604</v>
      </c>
      <c r="C326" s="261">
        <v>157</v>
      </c>
      <c r="D326" s="261">
        <f t="shared" ref="D326" si="15">+C326-E326</f>
        <v>151</v>
      </c>
      <c r="E326" s="262">
        <v>6</v>
      </c>
    </row>
    <row r="327" spans="1:5" ht="19.7" customHeight="1">
      <c r="A327" s="264">
        <v>2081106</v>
      </c>
      <c r="B327" s="263" t="s">
        <v>605</v>
      </c>
      <c r="C327" s="261">
        <v>74</v>
      </c>
      <c r="D327" s="261">
        <f t="shared" ref="D327:D358" si="16">+C327-E327</f>
        <v>74</v>
      </c>
      <c r="E327" s="262"/>
    </row>
    <row r="328" spans="1:5" ht="19.7" customHeight="1">
      <c r="A328" s="264">
        <v>2081199</v>
      </c>
      <c r="B328" s="263" t="s">
        <v>606</v>
      </c>
      <c r="C328" s="261">
        <v>192</v>
      </c>
      <c r="D328" s="261">
        <f t="shared" si="16"/>
        <v>192</v>
      </c>
      <c r="E328" s="262"/>
    </row>
    <row r="329" spans="1:5" ht="19.7" customHeight="1">
      <c r="A329" s="264">
        <v>20815</v>
      </c>
      <c r="B329" s="260" t="s">
        <v>607</v>
      </c>
      <c r="C329" s="261">
        <v>6</v>
      </c>
      <c r="D329" s="261">
        <f t="shared" si="16"/>
        <v>6</v>
      </c>
      <c r="E329" s="262"/>
    </row>
    <row r="330" spans="1:5" ht="19.7" customHeight="1">
      <c r="A330" s="264">
        <v>2081599</v>
      </c>
      <c r="B330" s="263" t="s">
        <v>608</v>
      </c>
      <c r="C330" s="261">
        <v>6</v>
      </c>
      <c r="D330" s="261">
        <f t="shared" si="16"/>
        <v>6</v>
      </c>
      <c r="E330" s="262"/>
    </row>
    <row r="331" spans="1:5" ht="19.7" customHeight="1">
      <c r="A331" s="264">
        <v>20816</v>
      </c>
      <c r="B331" s="260" t="s">
        <v>609</v>
      </c>
      <c r="C331" s="261">
        <v>37</v>
      </c>
      <c r="D331" s="261">
        <f t="shared" si="16"/>
        <v>27</v>
      </c>
      <c r="E331" s="262">
        <v>10</v>
      </c>
    </row>
    <row r="332" spans="1:5" ht="19.7" customHeight="1">
      <c r="A332" s="264">
        <v>2081601</v>
      </c>
      <c r="B332" s="263" t="s">
        <v>372</v>
      </c>
      <c r="C332" s="261">
        <v>19</v>
      </c>
      <c r="D332" s="261">
        <f t="shared" si="16"/>
        <v>19</v>
      </c>
      <c r="E332" s="262"/>
    </row>
    <row r="333" spans="1:5" ht="19.7" customHeight="1">
      <c r="A333" s="264">
        <v>2081602</v>
      </c>
      <c r="B333" s="263" t="s">
        <v>373</v>
      </c>
      <c r="C333" s="261">
        <v>8</v>
      </c>
      <c r="D333" s="261">
        <f t="shared" si="16"/>
        <v>8</v>
      </c>
      <c r="E333" s="262"/>
    </row>
    <row r="334" spans="1:5" ht="19.7" customHeight="1">
      <c r="A334" s="264">
        <v>2081699</v>
      </c>
      <c r="B334" s="263" t="s">
        <v>610</v>
      </c>
      <c r="C334" s="261">
        <v>10</v>
      </c>
      <c r="D334" s="261">
        <f t="shared" si="16"/>
        <v>0</v>
      </c>
      <c r="E334" s="262">
        <v>10</v>
      </c>
    </row>
    <row r="335" spans="1:5" ht="19.7" customHeight="1">
      <c r="A335" s="264">
        <v>20820</v>
      </c>
      <c r="B335" s="260" t="s">
        <v>611</v>
      </c>
      <c r="C335" s="261">
        <v>803</v>
      </c>
      <c r="D335" s="261">
        <f t="shared" si="16"/>
        <v>154</v>
      </c>
      <c r="E335" s="262">
        <v>649</v>
      </c>
    </row>
    <row r="336" spans="1:5" ht="19.7" customHeight="1">
      <c r="A336" s="264">
        <v>2082001</v>
      </c>
      <c r="B336" s="263" t="s">
        <v>612</v>
      </c>
      <c r="C336" s="261">
        <v>160</v>
      </c>
      <c r="D336" s="261">
        <f t="shared" si="16"/>
        <v>100</v>
      </c>
      <c r="E336" s="262">
        <v>60</v>
      </c>
    </row>
    <row r="337" spans="1:7" ht="19.7" customHeight="1">
      <c r="A337" s="264">
        <v>2082002</v>
      </c>
      <c r="B337" s="263" t="s">
        <v>613</v>
      </c>
      <c r="C337" s="261">
        <v>643</v>
      </c>
      <c r="D337" s="261">
        <f t="shared" si="16"/>
        <v>54</v>
      </c>
      <c r="E337" s="262">
        <v>589</v>
      </c>
    </row>
    <row r="338" spans="1:7" ht="19.7" customHeight="1">
      <c r="A338" s="264">
        <v>20826</v>
      </c>
      <c r="B338" s="260" t="s">
        <v>614</v>
      </c>
      <c r="C338" s="261">
        <v>55591</v>
      </c>
      <c r="D338" s="261">
        <f t="shared" si="16"/>
        <v>17591</v>
      </c>
      <c r="E338" s="262">
        <v>38000</v>
      </c>
    </row>
    <row r="339" spans="1:7" ht="19.7" customHeight="1">
      <c r="A339" s="264">
        <v>2082601</v>
      </c>
      <c r="B339" s="263" t="s">
        <v>615</v>
      </c>
      <c r="C339" s="261">
        <v>55591</v>
      </c>
      <c r="D339" s="261">
        <f t="shared" si="16"/>
        <v>17591</v>
      </c>
      <c r="E339" s="262">
        <f>52432-14432</f>
        <v>38000</v>
      </c>
    </row>
    <row r="340" spans="1:7" ht="19.7" customHeight="1">
      <c r="A340" s="264">
        <v>20827</v>
      </c>
      <c r="B340" s="260" t="s">
        <v>616</v>
      </c>
      <c r="C340" s="261">
        <v>114</v>
      </c>
      <c r="D340" s="261">
        <f t="shared" si="16"/>
        <v>0</v>
      </c>
      <c r="E340" s="262">
        <v>114</v>
      </c>
    </row>
    <row r="341" spans="1:7" ht="19.7" customHeight="1">
      <c r="A341" s="264">
        <v>2082702</v>
      </c>
      <c r="B341" s="263" t="s">
        <v>617</v>
      </c>
      <c r="C341" s="261">
        <v>114</v>
      </c>
      <c r="D341" s="261">
        <f t="shared" si="16"/>
        <v>0</v>
      </c>
      <c r="E341" s="262">
        <v>114</v>
      </c>
    </row>
    <row r="342" spans="1:7" ht="19.7" customHeight="1">
      <c r="A342" s="264">
        <v>20899</v>
      </c>
      <c r="B342" s="260" t="s">
        <v>618</v>
      </c>
      <c r="C342" s="261">
        <v>14713</v>
      </c>
      <c r="D342" s="261">
        <f t="shared" si="16"/>
        <v>13572</v>
      </c>
      <c r="E342" s="262">
        <v>1141</v>
      </c>
    </row>
    <row r="343" spans="1:7" ht="19.7" customHeight="1">
      <c r="A343" s="264">
        <v>2089901</v>
      </c>
      <c r="B343" s="263" t="s">
        <v>619</v>
      </c>
      <c r="C343" s="261">
        <v>14713</v>
      </c>
      <c r="D343" s="261">
        <f t="shared" si="16"/>
        <v>13572</v>
      </c>
      <c r="E343" s="262">
        <v>1141</v>
      </c>
    </row>
    <row r="344" spans="1:7" ht="19.7" customHeight="1">
      <c r="A344" s="264">
        <v>210</v>
      </c>
      <c r="B344" s="260" t="s">
        <v>620</v>
      </c>
      <c r="C344" s="261">
        <f>21458-4008</f>
        <v>17450</v>
      </c>
      <c r="D344" s="261">
        <f t="shared" si="16"/>
        <v>14222</v>
      </c>
      <c r="E344" s="262">
        <v>3228</v>
      </c>
      <c r="G344" s="253">
        <f>21458-17450</f>
        <v>4008</v>
      </c>
    </row>
    <row r="345" spans="1:7" ht="19.7" customHeight="1">
      <c r="A345" s="264">
        <v>21001</v>
      </c>
      <c r="B345" s="260" t="s">
        <v>621</v>
      </c>
      <c r="C345" s="261">
        <v>2164</v>
      </c>
      <c r="D345" s="261">
        <f t="shared" si="16"/>
        <v>2164</v>
      </c>
      <c r="E345" s="262"/>
    </row>
    <row r="346" spans="1:7" ht="19.7" customHeight="1">
      <c r="A346" s="264">
        <v>2100101</v>
      </c>
      <c r="B346" s="263" t="s">
        <v>372</v>
      </c>
      <c r="C346" s="261">
        <v>1891</v>
      </c>
      <c r="D346" s="261">
        <f t="shared" si="16"/>
        <v>1891</v>
      </c>
      <c r="E346" s="262"/>
    </row>
    <row r="347" spans="1:7" ht="19.7" customHeight="1">
      <c r="A347" s="264">
        <v>2100102</v>
      </c>
      <c r="B347" s="263" t="s">
        <v>373</v>
      </c>
      <c r="C347" s="261">
        <v>263</v>
      </c>
      <c r="D347" s="261">
        <f t="shared" si="16"/>
        <v>263</v>
      </c>
      <c r="E347" s="262"/>
    </row>
    <row r="348" spans="1:7" ht="19.7" customHeight="1">
      <c r="A348" s="264">
        <v>2100199</v>
      </c>
      <c r="B348" s="263" t="s">
        <v>622</v>
      </c>
      <c r="C348" s="261">
        <v>10</v>
      </c>
      <c r="D348" s="261">
        <f t="shared" si="16"/>
        <v>10</v>
      </c>
      <c r="E348" s="262"/>
    </row>
    <row r="349" spans="1:7" ht="19.7" customHeight="1">
      <c r="A349" s="264">
        <v>21002</v>
      </c>
      <c r="B349" s="260" t="s">
        <v>623</v>
      </c>
      <c r="C349" s="261">
        <v>2755</v>
      </c>
      <c r="D349" s="261">
        <f t="shared" si="16"/>
        <v>2177</v>
      </c>
      <c r="E349" s="262">
        <v>578</v>
      </c>
    </row>
    <row r="350" spans="1:7" ht="19.7" customHeight="1">
      <c r="A350" s="264">
        <v>2100201</v>
      </c>
      <c r="B350" s="263" t="s">
        <v>624</v>
      </c>
      <c r="C350" s="261">
        <v>700</v>
      </c>
      <c r="D350" s="261">
        <f t="shared" si="16"/>
        <v>700</v>
      </c>
      <c r="E350" s="262"/>
    </row>
    <row r="351" spans="1:7" ht="19.7" customHeight="1">
      <c r="A351" s="264">
        <v>2100202</v>
      </c>
      <c r="B351" s="263" t="s">
        <v>625</v>
      </c>
      <c r="C351" s="261">
        <v>33</v>
      </c>
      <c r="D351" s="261">
        <f t="shared" si="16"/>
        <v>33</v>
      </c>
      <c r="E351" s="262"/>
    </row>
    <row r="352" spans="1:7" ht="19.7" customHeight="1">
      <c r="A352" s="264">
        <v>2100203</v>
      </c>
      <c r="B352" s="263" t="s">
        <v>626</v>
      </c>
      <c r="C352" s="261">
        <v>1201</v>
      </c>
      <c r="D352" s="261">
        <f t="shared" si="16"/>
        <v>1004</v>
      </c>
      <c r="E352" s="262">
        <f>578-381</f>
        <v>197</v>
      </c>
    </row>
    <row r="353" spans="1:5" ht="19.7" customHeight="1">
      <c r="A353" s="264">
        <v>2100205</v>
      </c>
      <c r="B353" s="263" t="s">
        <v>627</v>
      </c>
      <c r="C353" s="261">
        <v>59</v>
      </c>
      <c r="D353" s="261">
        <f t="shared" si="16"/>
        <v>59</v>
      </c>
      <c r="E353" s="262"/>
    </row>
    <row r="354" spans="1:5" ht="19.7" customHeight="1">
      <c r="A354" s="264">
        <v>2100206</v>
      </c>
      <c r="B354" s="263" t="s">
        <v>628</v>
      </c>
      <c r="C354" s="261">
        <v>12</v>
      </c>
      <c r="D354" s="261">
        <f t="shared" si="16"/>
        <v>12</v>
      </c>
      <c r="E354" s="262"/>
    </row>
    <row r="355" spans="1:5" ht="19.7" customHeight="1">
      <c r="A355" s="264">
        <v>2100207</v>
      </c>
      <c r="B355" s="263" t="s">
        <v>629</v>
      </c>
      <c r="C355" s="261">
        <v>359</v>
      </c>
      <c r="D355" s="261">
        <f t="shared" si="16"/>
        <v>359</v>
      </c>
      <c r="E355" s="262"/>
    </row>
    <row r="356" spans="1:5" ht="19.7" customHeight="1">
      <c r="A356" s="264">
        <v>2100208</v>
      </c>
      <c r="B356" s="263" t="s">
        <v>630</v>
      </c>
      <c r="C356" s="261">
        <v>10</v>
      </c>
      <c r="D356" s="261">
        <f t="shared" si="16"/>
        <v>10</v>
      </c>
      <c r="E356" s="262"/>
    </row>
    <row r="357" spans="1:5" ht="19.7" customHeight="1">
      <c r="A357" s="264">
        <v>2100299</v>
      </c>
      <c r="B357" s="263" t="s">
        <v>631</v>
      </c>
      <c r="C357" s="261">
        <v>381</v>
      </c>
      <c r="D357" s="261">
        <f t="shared" si="16"/>
        <v>0</v>
      </c>
      <c r="E357" s="262">
        <v>381</v>
      </c>
    </row>
    <row r="358" spans="1:5" ht="19.7" customHeight="1">
      <c r="A358" s="264">
        <v>21004</v>
      </c>
      <c r="B358" s="260" t="s">
        <v>632</v>
      </c>
      <c r="C358" s="261">
        <f>4101-1008</f>
        <v>3093</v>
      </c>
      <c r="D358" s="261">
        <f t="shared" si="16"/>
        <v>2201</v>
      </c>
      <c r="E358" s="262">
        <v>892</v>
      </c>
    </row>
    <row r="359" spans="1:5" ht="19.7" customHeight="1">
      <c r="A359" s="264">
        <v>2100401</v>
      </c>
      <c r="B359" s="263" t="s">
        <v>633</v>
      </c>
      <c r="C359" s="261">
        <v>714</v>
      </c>
      <c r="D359" s="261">
        <f t="shared" ref="D359:D389" si="17">+C359-E359</f>
        <v>714</v>
      </c>
      <c r="E359" s="262"/>
    </row>
    <row r="360" spans="1:5" ht="19.7" customHeight="1">
      <c r="A360" s="264">
        <v>2100402</v>
      </c>
      <c r="B360" s="263" t="s">
        <v>634</v>
      </c>
      <c r="C360" s="261">
        <v>294</v>
      </c>
      <c r="D360" s="261">
        <f t="shared" si="17"/>
        <v>294</v>
      </c>
      <c r="E360" s="262"/>
    </row>
    <row r="361" spans="1:5" ht="19.7" customHeight="1">
      <c r="A361" s="264">
        <v>2100403</v>
      </c>
      <c r="B361" s="263" t="s">
        <v>635</v>
      </c>
      <c r="C361" s="261">
        <v>590</v>
      </c>
      <c r="D361" s="261">
        <f t="shared" si="17"/>
        <v>590</v>
      </c>
      <c r="E361" s="262"/>
    </row>
    <row r="362" spans="1:5" ht="19.7" customHeight="1">
      <c r="A362" s="264">
        <v>2100404</v>
      </c>
      <c r="B362" s="263" t="s">
        <v>636</v>
      </c>
      <c r="C362" s="261">
        <v>40</v>
      </c>
      <c r="D362" s="261">
        <f t="shared" si="17"/>
        <v>40</v>
      </c>
      <c r="E362" s="262"/>
    </row>
    <row r="363" spans="1:5" ht="19.7" customHeight="1">
      <c r="A363" s="264">
        <v>2100405</v>
      </c>
      <c r="B363" s="263" t="s">
        <v>637</v>
      </c>
      <c r="C363" s="261">
        <v>59</v>
      </c>
      <c r="D363" s="261">
        <f t="shared" si="17"/>
        <v>59</v>
      </c>
      <c r="E363" s="262"/>
    </row>
    <row r="364" spans="1:5" ht="19.7" customHeight="1">
      <c r="A364" s="264">
        <v>2100406</v>
      </c>
      <c r="B364" s="263" t="s">
        <v>638</v>
      </c>
      <c r="C364" s="261">
        <v>149</v>
      </c>
      <c r="D364" s="261">
        <f t="shared" si="17"/>
        <v>149</v>
      </c>
      <c r="E364" s="262"/>
    </row>
    <row r="365" spans="1:5" ht="19.7" customHeight="1">
      <c r="A365" s="264">
        <v>2100408</v>
      </c>
      <c r="B365" s="263" t="s">
        <v>639</v>
      </c>
      <c r="C365" s="261">
        <v>44</v>
      </c>
      <c r="D365" s="261">
        <f t="shared" si="17"/>
        <v>0</v>
      </c>
      <c r="E365" s="262">
        <v>44</v>
      </c>
    </row>
    <row r="366" spans="1:5" ht="19.7" customHeight="1">
      <c r="A366" s="264">
        <v>2100409</v>
      </c>
      <c r="B366" s="263" t="s">
        <v>640</v>
      </c>
      <c r="C366" s="261">
        <f>2171-1008</f>
        <v>1163</v>
      </c>
      <c r="D366" s="261">
        <f t="shared" si="17"/>
        <v>315</v>
      </c>
      <c r="E366" s="262">
        <v>848</v>
      </c>
    </row>
    <row r="367" spans="1:5" ht="19.7" customHeight="1">
      <c r="A367" s="264">
        <v>2100410</v>
      </c>
      <c r="B367" s="263" t="s">
        <v>641</v>
      </c>
      <c r="C367" s="261">
        <v>14</v>
      </c>
      <c r="D367" s="261">
        <f t="shared" si="17"/>
        <v>14</v>
      </c>
      <c r="E367" s="262"/>
    </row>
    <row r="368" spans="1:5" ht="19.7" customHeight="1">
      <c r="A368" s="264">
        <v>2100499</v>
      </c>
      <c r="B368" s="263" t="s">
        <v>642</v>
      </c>
      <c r="C368" s="261">
        <v>26</v>
      </c>
      <c r="D368" s="261">
        <f t="shared" si="17"/>
        <v>26</v>
      </c>
      <c r="E368" s="262"/>
    </row>
    <row r="369" spans="1:5" ht="19.7" customHeight="1">
      <c r="A369" s="264">
        <v>21006</v>
      </c>
      <c r="B369" s="260" t="s">
        <v>643</v>
      </c>
      <c r="C369" s="261">
        <v>73</v>
      </c>
      <c r="D369" s="261">
        <f t="shared" si="17"/>
        <v>0</v>
      </c>
      <c r="E369" s="262">
        <v>73</v>
      </c>
    </row>
    <row r="370" spans="1:5" ht="19.7" customHeight="1">
      <c r="A370" s="264">
        <v>2100601</v>
      </c>
      <c r="B370" s="263" t="s">
        <v>644</v>
      </c>
      <c r="C370" s="261">
        <v>73</v>
      </c>
      <c r="D370" s="261">
        <f t="shared" si="17"/>
        <v>0</v>
      </c>
      <c r="E370" s="262">
        <v>73</v>
      </c>
    </row>
    <row r="371" spans="1:5" ht="19.7" customHeight="1">
      <c r="A371" s="264">
        <v>21007</v>
      </c>
      <c r="B371" s="260" t="s">
        <v>645</v>
      </c>
      <c r="C371" s="261">
        <v>2264</v>
      </c>
      <c r="D371" s="261">
        <f t="shared" si="17"/>
        <v>1397</v>
      </c>
      <c r="E371" s="262">
        <v>867</v>
      </c>
    </row>
    <row r="372" spans="1:5" ht="19.7" customHeight="1">
      <c r="A372" s="264">
        <v>2100716</v>
      </c>
      <c r="B372" s="263" t="s">
        <v>646</v>
      </c>
      <c r="C372" s="261">
        <v>44</v>
      </c>
      <c r="D372" s="261">
        <f t="shared" si="17"/>
        <v>44</v>
      </c>
      <c r="E372" s="262"/>
    </row>
    <row r="373" spans="1:5" ht="19.7" customHeight="1">
      <c r="A373" s="264">
        <v>2100717</v>
      </c>
      <c r="B373" s="263" t="s">
        <v>647</v>
      </c>
      <c r="C373" s="261">
        <v>993</v>
      </c>
      <c r="D373" s="261">
        <f t="shared" si="17"/>
        <v>136</v>
      </c>
      <c r="E373" s="262">
        <v>857</v>
      </c>
    </row>
    <row r="374" spans="1:5" ht="19.7" customHeight="1">
      <c r="A374" s="264">
        <v>2100799</v>
      </c>
      <c r="B374" s="263" t="s">
        <v>648</v>
      </c>
      <c r="C374" s="261">
        <v>1227</v>
      </c>
      <c r="D374" s="261">
        <f t="shared" si="17"/>
        <v>1217</v>
      </c>
      <c r="E374" s="262">
        <v>10</v>
      </c>
    </row>
    <row r="375" spans="1:5" ht="19.7" customHeight="1">
      <c r="A375" s="264">
        <v>21010</v>
      </c>
      <c r="B375" s="260" t="s">
        <v>649</v>
      </c>
      <c r="C375" s="261">
        <v>2203</v>
      </c>
      <c r="D375" s="261">
        <f t="shared" si="17"/>
        <v>1806</v>
      </c>
      <c r="E375" s="262">
        <v>397</v>
      </c>
    </row>
    <row r="376" spans="1:5" ht="19.7" customHeight="1">
      <c r="A376" s="264">
        <v>2101001</v>
      </c>
      <c r="B376" s="263" t="s">
        <v>372</v>
      </c>
      <c r="C376" s="261">
        <v>1044</v>
      </c>
      <c r="D376" s="261">
        <f t="shared" si="17"/>
        <v>1044</v>
      </c>
      <c r="E376" s="262"/>
    </row>
    <row r="377" spans="1:5" ht="19.7" customHeight="1">
      <c r="A377" s="264">
        <v>2101002</v>
      </c>
      <c r="B377" s="263" t="s">
        <v>373</v>
      </c>
      <c r="C377" s="261">
        <v>15</v>
      </c>
      <c r="D377" s="261">
        <f t="shared" si="17"/>
        <v>15</v>
      </c>
      <c r="E377" s="262"/>
    </row>
    <row r="378" spans="1:5" ht="19.7" customHeight="1">
      <c r="A378" s="264">
        <v>2101012</v>
      </c>
      <c r="B378" s="263" t="s">
        <v>650</v>
      </c>
      <c r="C378" s="261">
        <v>53</v>
      </c>
      <c r="D378" s="261">
        <f t="shared" si="17"/>
        <v>0</v>
      </c>
      <c r="E378" s="262">
        <v>53</v>
      </c>
    </row>
    <row r="379" spans="1:5" ht="19.7" customHeight="1">
      <c r="A379" s="264">
        <v>2101014</v>
      </c>
      <c r="B379" s="263" t="s">
        <v>651</v>
      </c>
      <c r="C379" s="261">
        <v>1</v>
      </c>
      <c r="D379" s="261">
        <f t="shared" si="17"/>
        <v>0</v>
      </c>
      <c r="E379" s="262">
        <v>1</v>
      </c>
    </row>
    <row r="380" spans="1:5" ht="19.7" customHeight="1">
      <c r="A380" s="264">
        <v>2101016</v>
      </c>
      <c r="B380" s="263" t="s">
        <v>652</v>
      </c>
      <c r="C380" s="261">
        <v>154</v>
      </c>
      <c r="D380" s="261">
        <f t="shared" si="17"/>
        <v>0</v>
      </c>
      <c r="E380" s="262">
        <v>154</v>
      </c>
    </row>
    <row r="381" spans="1:5" ht="19.7" customHeight="1">
      <c r="A381" s="264">
        <v>2101050</v>
      </c>
      <c r="B381" s="263" t="s">
        <v>384</v>
      </c>
      <c r="C381" s="261">
        <v>380</v>
      </c>
      <c r="D381" s="261">
        <f t="shared" si="17"/>
        <v>380</v>
      </c>
      <c r="E381" s="262"/>
    </row>
    <row r="382" spans="1:5" ht="19.7" customHeight="1">
      <c r="A382" s="264">
        <v>2101099</v>
      </c>
      <c r="B382" s="263" t="s">
        <v>653</v>
      </c>
      <c r="C382" s="261">
        <v>556</v>
      </c>
      <c r="D382" s="261">
        <f t="shared" si="17"/>
        <v>367</v>
      </c>
      <c r="E382" s="262">
        <v>189</v>
      </c>
    </row>
    <row r="383" spans="1:5" ht="19.7" customHeight="1">
      <c r="A383" s="264">
        <v>21011</v>
      </c>
      <c r="B383" s="260" t="s">
        <v>654</v>
      </c>
      <c r="C383" s="261">
        <v>2780</v>
      </c>
      <c r="D383" s="261">
        <f t="shared" si="17"/>
        <v>2780</v>
      </c>
      <c r="E383" s="262"/>
    </row>
    <row r="384" spans="1:5" ht="19.7" customHeight="1">
      <c r="A384" s="264">
        <v>2101101</v>
      </c>
      <c r="B384" s="263" t="s">
        <v>655</v>
      </c>
      <c r="C384" s="261">
        <v>986</v>
      </c>
      <c r="D384" s="261">
        <f t="shared" si="17"/>
        <v>986</v>
      </c>
      <c r="E384" s="262"/>
    </row>
    <row r="385" spans="1:7" ht="19.7" customHeight="1">
      <c r="A385" s="264">
        <v>2101102</v>
      </c>
      <c r="B385" s="263" t="s">
        <v>656</v>
      </c>
      <c r="C385" s="261">
        <v>808</v>
      </c>
      <c r="D385" s="261">
        <f t="shared" si="17"/>
        <v>808</v>
      </c>
      <c r="E385" s="262"/>
    </row>
    <row r="386" spans="1:7" ht="19.7" customHeight="1">
      <c r="A386" s="264">
        <v>2101103</v>
      </c>
      <c r="B386" s="263" t="s">
        <v>657</v>
      </c>
      <c r="C386" s="261">
        <v>986</v>
      </c>
      <c r="D386" s="261">
        <f t="shared" si="17"/>
        <v>986</v>
      </c>
      <c r="E386" s="262"/>
    </row>
    <row r="387" spans="1:7" ht="19.7" customHeight="1">
      <c r="A387" s="264">
        <v>21012</v>
      </c>
      <c r="B387" s="260" t="s">
        <v>658</v>
      </c>
      <c r="C387" s="261">
        <v>1582</v>
      </c>
      <c r="D387" s="261">
        <f t="shared" si="17"/>
        <v>1582</v>
      </c>
      <c r="E387" s="262"/>
    </row>
    <row r="388" spans="1:7" ht="19.7" customHeight="1">
      <c r="A388" s="264">
        <v>2101299</v>
      </c>
      <c r="B388" s="263" t="s">
        <v>659</v>
      </c>
      <c r="C388" s="261">
        <v>1582</v>
      </c>
      <c r="D388" s="261">
        <f t="shared" si="17"/>
        <v>1582</v>
      </c>
      <c r="E388" s="262"/>
    </row>
    <row r="389" spans="1:7" ht="19.7" customHeight="1">
      <c r="A389" s="264">
        <v>21013</v>
      </c>
      <c r="B389" s="260" t="s">
        <v>660</v>
      </c>
      <c r="C389" s="261">
        <v>337</v>
      </c>
      <c r="D389" s="261">
        <f t="shared" si="17"/>
        <v>115</v>
      </c>
      <c r="E389" s="262">
        <v>222</v>
      </c>
    </row>
    <row r="390" spans="1:7" ht="19.7" customHeight="1">
      <c r="A390" s="264">
        <v>2101301</v>
      </c>
      <c r="B390" s="263" t="s">
        <v>661</v>
      </c>
      <c r="C390" s="261">
        <v>35</v>
      </c>
      <c r="D390" s="261">
        <f t="shared" ref="D390" si="18">+C390-E390</f>
        <v>35</v>
      </c>
      <c r="E390" s="262"/>
    </row>
    <row r="391" spans="1:7" ht="19.7" customHeight="1">
      <c r="A391" s="264">
        <v>2101302</v>
      </c>
      <c r="B391" s="263" t="s">
        <v>662</v>
      </c>
      <c r="C391" s="261">
        <v>302</v>
      </c>
      <c r="D391" s="261">
        <f t="shared" ref="D391:D422" si="19">+C391-E391</f>
        <v>80</v>
      </c>
      <c r="E391" s="262">
        <v>222</v>
      </c>
    </row>
    <row r="392" spans="1:7" ht="19.7" customHeight="1">
      <c r="A392" s="264">
        <v>21014</v>
      </c>
      <c r="B392" s="260" t="s">
        <v>663</v>
      </c>
      <c r="C392" s="261">
        <v>145</v>
      </c>
      <c r="D392" s="261">
        <f t="shared" si="19"/>
        <v>0</v>
      </c>
      <c r="E392" s="262">
        <v>145</v>
      </c>
    </row>
    <row r="393" spans="1:7" ht="19.7" customHeight="1">
      <c r="A393" s="264">
        <v>2101401</v>
      </c>
      <c r="B393" s="263" t="s">
        <v>664</v>
      </c>
      <c r="C393" s="261">
        <v>145</v>
      </c>
      <c r="D393" s="261">
        <f t="shared" si="19"/>
        <v>0</v>
      </c>
      <c r="E393" s="262">
        <v>145</v>
      </c>
    </row>
    <row r="394" spans="1:7" ht="19.7" customHeight="1">
      <c r="A394" s="264">
        <v>21099</v>
      </c>
      <c r="B394" s="260" t="s">
        <v>665</v>
      </c>
      <c r="C394" s="261">
        <v>54</v>
      </c>
      <c r="D394" s="261">
        <f t="shared" si="19"/>
        <v>0</v>
      </c>
      <c r="E394" s="262">
        <v>54</v>
      </c>
    </row>
    <row r="395" spans="1:7" ht="19.7" customHeight="1">
      <c r="A395" s="264">
        <v>2109901</v>
      </c>
      <c r="B395" s="263" t="s">
        <v>666</v>
      </c>
      <c r="C395" s="261">
        <v>54</v>
      </c>
      <c r="D395" s="261">
        <f t="shared" si="19"/>
        <v>0</v>
      </c>
      <c r="E395" s="262">
        <v>54</v>
      </c>
    </row>
    <row r="396" spans="1:7" ht="19.7" customHeight="1">
      <c r="A396" s="264">
        <v>211</v>
      </c>
      <c r="B396" s="260" t="s">
        <v>667</v>
      </c>
      <c r="C396" s="261">
        <f>10945-3445</f>
        <v>7500</v>
      </c>
      <c r="D396" s="261">
        <f t="shared" si="19"/>
        <v>3991</v>
      </c>
      <c r="E396" s="262">
        <v>3509</v>
      </c>
      <c r="G396" s="253">
        <f>10945-7500</f>
        <v>3445</v>
      </c>
    </row>
    <row r="397" spans="1:7" ht="19.7" customHeight="1">
      <c r="A397" s="264">
        <v>21101</v>
      </c>
      <c r="B397" s="260" t="s">
        <v>668</v>
      </c>
      <c r="C397" s="261">
        <v>2470</v>
      </c>
      <c r="D397" s="261">
        <f t="shared" si="19"/>
        <v>2372</v>
      </c>
      <c r="E397" s="262">
        <v>98</v>
      </c>
    </row>
    <row r="398" spans="1:7" ht="19.7" customHeight="1">
      <c r="A398" s="264">
        <v>2110101</v>
      </c>
      <c r="B398" s="263" t="s">
        <v>372</v>
      </c>
      <c r="C398" s="261">
        <v>1598</v>
      </c>
      <c r="D398" s="261">
        <f t="shared" si="19"/>
        <v>1598</v>
      </c>
      <c r="E398" s="262"/>
    </row>
    <row r="399" spans="1:7" ht="19.7" customHeight="1">
      <c r="A399" s="264">
        <v>2110102</v>
      </c>
      <c r="B399" s="263" t="s">
        <v>373</v>
      </c>
      <c r="C399" s="261">
        <v>351</v>
      </c>
      <c r="D399" s="261">
        <f t="shared" si="19"/>
        <v>351</v>
      </c>
      <c r="E399" s="262"/>
    </row>
    <row r="400" spans="1:7" ht="19.7" customHeight="1">
      <c r="A400" s="264">
        <v>2110104</v>
      </c>
      <c r="B400" s="263" t="s">
        <v>669</v>
      </c>
      <c r="C400" s="261">
        <v>63</v>
      </c>
      <c r="D400" s="261">
        <f t="shared" si="19"/>
        <v>63</v>
      </c>
      <c r="E400" s="262"/>
    </row>
    <row r="401" spans="1:5" ht="19.7" customHeight="1">
      <c r="A401" s="264">
        <v>2110199</v>
      </c>
      <c r="B401" s="263" t="s">
        <v>670</v>
      </c>
      <c r="C401" s="261">
        <v>458</v>
      </c>
      <c r="D401" s="261">
        <f t="shared" si="19"/>
        <v>360</v>
      </c>
      <c r="E401" s="262">
        <f>949-851</f>
        <v>98</v>
      </c>
    </row>
    <row r="402" spans="1:5" ht="19.7" customHeight="1">
      <c r="A402" s="264">
        <v>21102</v>
      </c>
      <c r="B402" s="260" t="s">
        <v>671</v>
      </c>
      <c r="C402" s="261">
        <v>472</v>
      </c>
      <c r="D402" s="261">
        <f t="shared" si="19"/>
        <v>472</v>
      </c>
      <c r="E402" s="262"/>
    </row>
    <row r="403" spans="1:5" ht="19.7" customHeight="1">
      <c r="A403" s="264">
        <v>2110203</v>
      </c>
      <c r="B403" s="263" t="s">
        <v>672</v>
      </c>
      <c r="C403" s="261">
        <v>472</v>
      </c>
      <c r="D403" s="261">
        <f t="shared" si="19"/>
        <v>472</v>
      </c>
      <c r="E403" s="262"/>
    </row>
    <row r="404" spans="1:5" ht="19.7" customHeight="1">
      <c r="A404" s="264">
        <v>21103</v>
      </c>
      <c r="B404" s="260" t="s">
        <v>673</v>
      </c>
      <c r="C404" s="261">
        <v>3574</v>
      </c>
      <c r="D404" s="261">
        <f t="shared" si="19"/>
        <v>1081</v>
      </c>
      <c r="E404" s="262">
        <v>2493</v>
      </c>
    </row>
    <row r="405" spans="1:5" ht="19.7" customHeight="1">
      <c r="A405" s="264">
        <v>2110301</v>
      </c>
      <c r="B405" s="263" t="s">
        <v>674</v>
      </c>
      <c r="C405" s="261">
        <v>324</v>
      </c>
      <c r="D405" s="261">
        <f t="shared" si="19"/>
        <v>0</v>
      </c>
      <c r="E405" s="262">
        <v>324</v>
      </c>
    </row>
    <row r="406" spans="1:5" ht="19.7" customHeight="1">
      <c r="A406" s="264">
        <v>2110302</v>
      </c>
      <c r="B406" s="263" t="s">
        <v>675</v>
      </c>
      <c r="C406" s="261">
        <v>1874</v>
      </c>
      <c r="D406" s="261">
        <f t="shared" si="19"/>
        <v>450</v>
      </c>
      <c r="E406" s="262">
        <v>1424</v>
      </c>
    </row>
    <row r="407" spans="1:5" ht="19.7" customHeight="1">
      <c r="A407" s="264">
        <v>2110399</v>
      </c>
      <c r="B407" s="263" t="s">
        <v>676</v>
      </c>
      <c r="C407" s="261">
        <v>1376</v>
      </c>
      <c r="D407" s="261">
        <f t="shared" si="19"/>
        <v>631</v>
      </c>
      <c r="E407" s="262">
        <v>745</v>
      </c>
    </row>
    <row r="408" spans="1:5" ht="19.7" customHeight="1">
      <c r="A408" s="264">
        <v>21104</v>
      </c>
      <c r="B408" s="260" t="s">
        <v>677</v>
      </c>
      <c r="C408" s="261">
        <v>55</v>
      </c>
      <c r="D408" s="261">
        <f t="shared" si="19"/>
        <v>55</v>
      </c>
      <c r="E408" s="262"/>
    </row>
    <row r="409" spans="1:5" ht="19.7" customHeight="1">
      <c r="A409" s="264">
        <v>2110402</v>
      </c>
      <c r="B409" s="263" t="s">
        <v>678</v>
      </c>
      <c r="C409" s="261">
        <v>55</v>
      </c>
      <c r="D409" s="261">
        <f t="shared" si="19"/>
        <v>55</v>
      </c>
      <c r="E409" s="262"/>
    </row>
    <row r="410" spans="1:5" ht="19.7" customHeight="1">
      <c r="A410" s="264">
        <v>21105</v>
      </c>
      <c r="B410" s="260" t="s">
        <v>679</v>
      </c>
      <c r="C410" s="261">
        <v>7</v>
      </c>
      <c r="D410" s="261">
        <f t="shared" si="19"/>
        <v>0</v>
      </c>
      <c r="E410" s="262">
        <v>7</v>
      </c>
    </row>
    <row r="411" spans="1:5" ht="19.7" customHeight="1">
      <c r="A411" s="264">
        <v>2110501</v>
      </c>
      <c r="B411" s="263" t="s">
        <v>680</v>
      </c>
      <c r="C411" s="261">
        <v>3</v>
      </c>
      <c r="D411" s="261">
        <f t="shared" si="19"/>
        <v>0</v>
      </c>
      <c r="E411" s="262">
        <v>3</v>
      </c>
    </row>
    <row r="412" spans="1:5" ht="19.7" customHeight="1">
      <c r="A412" s="264">
        <v>2110507</v>
      </c>
      <c r="B412" s="263" t="s">
        <v>681</v>
      </c>
      <c r="C412" s="261">
        <v>4</v>
      </c>
      <c r="D412" s="261">
        <f t="shared" si="19"/>
        <v>0</v>
      </c>
      <c r="E412" s="262">
        <v>4</v>
      </c>
    </row>
    <row r="413" spans="1:5" ht="19.7" customHeight="1">
      <c r="A413" s="264">
        <v>21111</v>
      </c>
      <c r="B413" s="260" t="s">
        <v>682</v>
      </c>
      <c r="C413" s="261">
        <v>60</v>
      </c>
      <c r="D413" s="261">
        <f t="shared" si="19"/>
        <v>0</v>
      </c>
      <c r="E413" s="262">
        <v>60</v>
      </c>
    </row>
    <row r="414" spans="1:5" ht="19.7" customHeight="1">
      <c r="A414" s="264">
        <v>2111101</v>
      </c>
      <c r="B414" s="263" t="s">
        <v>683</v>
      </c>
      <c r="C414" s="261">
        <v>49</v>
      </c>
      <c r="D414" s="261">
        <f t="shared" si="19"/>
        <v>0</v>
      </c>
      <c r="E414" s="262">
        <v>49</v>
      </c>
    </row>
    <row r="415" spans="1:5" ht="19.7" customHeight="1">
      <c r="A415" s="264">
        <v>2111102</v>
      </c>
      <c r="B415" s="263" t="s">
        <v>684</v>
      </c>
      <c r="C415" s="261">
        <v>11</v>
      </c>
      <c r="D415" s="261">
        <f t="shared" si="19"/>
        <v>0</v>
      </c>
      <c r="E415" s="262">
        <v>11</v>
      </c>
    </row>
    <row r="416" spans="1:5" ht="19.7" customHeight="1">
      <c r="A416" s="264">
        <v>21114</v>
      </c>
      <c r="B416" s="260" t="s">
        <v>685</v>
      </c>
      <c r="C416" s="261">
        <v>11</v>
      </c>
      <c r="D416" s="261">
        <f t="shared" si="19"/>
        <v>11</v>
      </c>
      <c r="E416" s="262"/>
    </row>
    <row r="417" spans="1:7" ht="19.7" customHeight="1">
      <c r="A417" s="264">
        <v>2111401</v>
      </c>
      <c r="B417" s="263" t="s">
        <v>372</v>
      </c>
      <c r="C417" s="261">
        <v>11</v>
      </c>
      <c r="D417" s="261">
        <f t="shared" si="19"/>
        <v>11</v>
      </c>
      <c r="E417" s="262"/>
    </row>
    <row r="418" spans="1:7" ht="19.7" customHeight="1">
      <c r="A418" s="264">
        <v>21199</v>
      </c>
      <c r="B418" s="260" t="s">
        <v>686</v>
      </c>
      <c r="C418" s="261">
        <v>851</v>
      </c>
      <c r="D418" s="261">
        <f t="shared" si="19"/>
        <v>0</v>
      </c>
      <c r="E418" s="262">
        <v>851</v>
      </c>
    </row>
    <row r="419" spans="1:7" ht="19.7" customHeight="1">
      <c r="A419" s="264">
        <v>2119901</v>
      </c>
      <c r="B419" s="263" t="s">
        <v>687</v>
      </c>
      <c r="C419" s="261">
        <f>4296-3445</f>
        <v>851</v>
      </c>
      <c r="D419" s="261">
        <f t="shared" si="19"/>
        <v>0</v>
      </c>
      <c r="E419" s="262">
        <v>851</v>
      </c>
    </row>
    <row r="420" spans="1:7" ht="19.7" customHeight="1">
      <c r="A420" s="264">
        <v>212</v>
      </c>
      <c r="B420" s="260" t="s">
        <v>688</v>
      </c>
      <c r="C420" s="261">
        <f>26135-12469+240</f>
        <v>13906</v>
      </c>
      <c r="D420" s="261">
        <f t="shared" si="19"/>
        <v>13856</v>
      </c>
      <c r="E420" s="262">
        <v>50</v>
      </c>
      <c r="G420" s="253">
        <f>26135-13666</f>
        <v>12469</v>
      </c>
    </row>
    <row r="421" spans="1:7" ht="19.7" customHeight="1">
      <c r="A421" s="264">
        <v>21201</v>
      </c>
      <c r="B421" s="260" t="s">
        <v>689</v>
      </c>
      <c r="C421" s="261">
        <v>11978</v>
      </c>
      <c r="D421" s="261">
        <f t="shared" si="19"/>
        <v>11978</v>
      </c>
      <c r="E421" s="262"/>
      <c r="G421" s="253">
        <f>+G420-6000</f>
        <v>6469</v>
      </c>
    </row>
    <row r="422" spans="1:7" ht="19.7" customHeight="1">
      <c r="A422" s="264">
        <v>2120101</v>
      </c>
      <c r="B422" s="263" t="s">
        <v>372</v>
      </c>
      <c r="C422" s="261">
        <v>5169</v>
      </c>
      <c r="D422" s="261">
        <f t="shared" si="19"/>
        <v>5169</v>
      </c>
      <c r="E422" s="262"/>
    </row>
    <row r="423" spans="1:7" ht="19.7" customHeight="1">
      <c r="A423" s="264">
        <v>2120102</v>
      </c>
      <c r="B423" s="263" t="s">
        <v>373</v>
      </c>
      <c r="C423" s="261">
        <v>399</v>
      </c>
      <c r="D423" s="261">
        <f t="shared" ref="D423:D453" si="20">+C423-E423</f>
        <v>399</v>
      </c>
      <c r="E423" s="262"/>
    </row>
    <row r="424" spans="1:7" ht="19.7" customHeight="1">
      <c r="A424" s="264">
        <v>2120104</v>
      </c>
      <c r="B424" s="263" t="s">
        <v>690</v>
      </c>
      <c r="C424" s="261">
        <v>326</v>
      </c>
      <c r="D424" s="261">
        <f t="shared" si="20"/>
        <v>326</v>
      </c>
      <c r="E424" s="262"/>
    </row>
    <row r="425" spans="1:7" ht="19.7" customHeight="1">
      <c r="A425" s="264">
        <v>2120106</v>
      </c>
      <c r="B425" s="263" t="s">
        <v>691</v>
      </c>
      <c r="C425" s="261">
        <v>436</v>
      </c>
      <c r="D425" s="261">
        <f t="shared" si="20"/>
        <v>436</v>
      </c>
      <c r="E425" s="262"/>
    </row>
    <row r="426" spans="1:7" ht="19.7" customHeight="1">
      <c r="A426" s="264">
        <v>2120109</v>
      </c>
      <c r="B426" s="263" t="s">
        <v>692</v>
      </c>
      <c r="C426" s="261">
        <v>3039</v>
      </c>
      <c r="D426" s="261">
        <f t="shared" si="20"/>
        <v>3039</v>
      </c>
      <c r="E426" s="262"/>
    </row>
    <row r="427" spans="1:7" ht="19.7" customHeight="1">
      <c r="A427" s="264">
        <v>2120199</v>
      </c>
      <c r="B427" s="263" t="s">
        <v>693</v>
      </c>
      <c r="C427" s="261">
        <v>2609</v>
      </c>
      <c r="D427" s="261">
        <f t="shared" si="20"/>
        <v>2609</v>
      </c>
      <c r="E427" s="262"/>
    </row>
    <row r="428" spans="1:7" ht="19.7" customHeight="1">
      <c r="A428" s="264">
        <v>21202</v>
      </c>
      <c r="B428" s="260" t="s">
        <v>694</v>
      </c>
      <c r="C428" s="261">
        <v>5</v>
      </c>
      <c r="D428" s="261">
        <f t="shared" si="20"/>
        <v>5</v>
      </c>
      <c r="E428" s="262"/>
    </row>
    <row r="429" spans="1:7" ht="19.7" customHeight="1">
      <c r="A429" s="264">
        <v>2120201</v>
      </c>
      <c r="B429" s="263" t="s">
        <v>695</v>
      </c>
      <c r="C429" s="261">
        <v>5</v>
      </c>
      <c r="D429" s="261">
        <f t="shared" si="20"/>
        <v>5</v>
      </c>
      <c r="E429" s="262"/>
    </row>
    <row r="430" spans="1:7" ht="19.7" customHeight="1">
      <c r="A430" s="264">
        <v>21203</v>
      </c>
      <c r="B430" s="260" t="s">
        <v>696</v>
      </c>
      <c r="C430" s="261">
        <v>1242</v>
      </c>
      <c r="D430" s="261">
        <f t="shared" si="20"/>
        <v>1242</v>
      </c>
      <c r="E430" s="262"/>
    </row>
    <row r="431" spans="1:7" ht="19.7" customHeight="1">
      <c r="A431" s="264">
        <v>2120399</v>
      </c>
      <c r="B431" s="263" t="s">
        <v>697</v>
      </c>
      <c r="C431" s="261">
        <f>7711-6469</f>
        <v>1242</v>
      </c>
      <c r="D431" s="261">
        <f t="shared" si="20"/>
        <v>1242</v>
      </c>
      <c r="E431" s="262"/>
    </row>
    <row r="432" spans="1:7" ht="19.7" customHeight="1">
      <c r="A432" s="264">
        <v>21205</v>
      </c>
      <c r="B432" s="260" t="s">
        <v>698</v>
      </c>
      <c r="C432" s="261">
        <v>307</v>
      </c>
      <c r="D432" s="261">
        <f t="shared" si="20"/>
        <v>307</v>
      </c>
      <c r="E432" s="262"/>
    </row>
    <row r="433" spans="1:7" ht="19.7" customHeight="1">
      <c r="A433" s="264">
        <v>2120501</v>
      </c>
      <c r="B433" s="263" t="s">
        <v>699</v>
      </c>
      <c r="C433" s="261">
        <v>307</v>
      </c>
      <c r="D433" s="261">
        <f t="shared" si="20"/>
        <v>307</v>
      </c>
      <c r="E433" s="262"/>
    </row>
    <row r="434" spans="1:7" ht="19.7" customHeight="1">
      <c r="A434" s="264">
        <v>21299</v>
      </c>
      <c r="B434" s="260" t="s">
        <v>700</v>
      </c>
      <c r="C434" s="261">
        <f>240+134</f>
        <v>374</v>
      </c>
      <c r="D434" s="261">
        <f t="shared" si="20"/>
        <v>324</v>
      </c>
      <c r="E434" s="262">
        <v>50</v>
      </c>
    </row>
    <row r="435" spans="1:7" ht="19.7" customHeight="1">
      <c r="A435" s="264">
        <v>2129999</v>
      </c>
      <c r="B435" s="263" t="s">
        <v>701</v>
      </c>
      <c r="C435" s="261">
        <f>240+134</f>
        <v>374</v>
      </c>
      <c r="D435" s="261">
        <f t="shared" si="20"/>
        <v>324</v>
      </c>
      <c r="E435" s="262">
        <v>50</v>
      </c>
    </row>
    <row r="436" spans="1:7" ht="19.7" customHeight="1">
      <c r="A436" s="264">
        <v>213</v>
      </c>
      <c r="B436" s="260" t="s">
        <v>702</v>
      </c>
      <c r="C436" s="261">
        <f>23576-9428</f>
        <v>14148</v>
      </c>
      <c r="D436" s="261">
        <f t="shared" si="20"/>
        <v>5738</v>
      </c>
      <c r="E436" s="262">
        <v>8410</v>
      </c>
      <c r="G436" s="253">
        <f>23576-14148</f>
        <v>9428</v>
      </c>
    </row>
    <row r="437" spans="1:7" ht="19.7" customHeight="1">
      <c r="A437" s="264">
        <v>21301</v>
      </c>
      <c r="B437" s="260" t="s">
        <v>703</v>
      </c>
      <c r="C437" s="261">
        <v>1991</v>
      </c>
      <c r="D437" s="261">
        <f t="shared" si="20"/>
        <v>981</v>
      </c>
      <c r="E437" s="262">
        <v>1010</v>
      </c>
      <c r="G437" s="253">
        <v>428</v>
      </c>
    </row>
    <row r="438" spans="1:7" ht="19.7" customHeight="1">
      <c r="A438" s="264">
        <v>2130101</v>
      </c>
      <c r="B438" s="263" t="s">
        <v>372</v>
      </c>
      <c r="C438" s="261">
        <v>78</v>
      </c>
      <c r="D438" s="261">
        <f t="shared" si="20"/>
        <v>78</v>
      </c>
      <c r="E438" s="262"/>
    </row>
    <row r="439" spans="1:7" ht="19.7" customHeight="1">
      <c r="A439" s="264">
        <v>2130102</v>
      </c>
      <c r="B439" s="263" t="s">
        <v>373</v>
      </c>
      <c r="C439" s="261">
        <v>134</v>
      </c>
      <c r="D439" s="261">
        <f t="shared" si="20"/>
        <v>134</v>
      </c>
      <c r="E439" s="262"/>
    </row>
    <row r="440" spans="1:7" ht="19.7" customHeight="1">
      <c r="A440" s="264">
        <v>2130104</v>
      </c>
      <c r="B440" s="263" t="s">
        <v>384</v>
      </c>
      <c r="C440" s="261">
        <v>925</v>
      </c>
      <c r="D440" s="261">
        <f t="shared" si="20"/>
        <v>740</v>
      </c>
      <c r="E440" s="262">
        <f>409-224</f>
        <v>185</v>
      </c>
    </row>
    <row r="441" spans="1:7" ht="19.7" customHeight="1">
      <c r="A441" s="264">
        <v>2130106</v>
      </c>
      <c r="B441" s="263" t="s">
        <v>704</v>
      </c>
      <c r="C441" s="261">
        <v>214</v>
      </c>
      <c r="D441" s="261">
        <f t="shared" si="20"/>
        <v>26</v>
      </c>
      <c r="E441" s="262">
        <v>188</v>
      </c>
    </row>
    <row r="442" spans="1:7" ht="19.7" customHeight="1">
      <c r="A442" s="264">
        <v>2130108</v>
      </c>
      <c r="B442" s="263" t="s">
        <v>705</v>
      </c>
      <c r="C442" s="261">
        <v>101</v>
      </c>
      <c r="D442" s="261">
        <f t="shared" si="20"/>
        <v>0</v>
      </c>
      <c r="E442" s="262">
        <v>101</v>
      </c>
    </row>
    <row r="443" spans="1:7" ht="19.7" customHeight="1">
      <c r="A443" s="264">
        <v>2130109</v>
      </c>
      <c r="B443" s="263" t="s">
        <v>706</v>
      </c>
      <c r="C443" s="261">
        <v>121</v>
      </c>
      <c r="D443" s="261">
        <f t="shared" si="20"/>
        <v>3</v>
      </c>
      <c r="E443" s="262">
        <v>118</v>
      </c>
    </row>
    <row r="444" spans="1:7" ht="19.7" customHeight="1">
      <c r="A444" s="264">
        <v>2130110</v>
      </c>
      <c r="B444" s="263" t="s">
        <v>707</v>
      </c>
      <c r="C444" s="261">
        <v>43</v>
      </c>
      <c r="D444" s="261">
        <f t="shared" si="20"/>
        <v>0</v>
      </c>
      <c r="E444" s="262">
        <v>43</v>
      </c>
    </row>
    <row r="445" spans="1:7" ht="19.7" customHeight="1">
      <c r="A445" s="264">
        <v>2130111</v>
      </c>
      <c r="B445" s="263" t="s">
        <v>708</v>
      </c>
      <c r="C445" s="261">
        <v>5</v>
      </c>
      <c r="D445" s="261">
        <f t="shared" si="20"/>
        <v>0</v>
      </c>
      <c r="E445" s="262">
        <v>5</v>
      </c>
    </row>
    <row r="446" spans="1:7" ht="19.7" customHeight="1">
      <c r="A446" s="264">
        <v>2130112</v>
      </c>
      <c r="B446" s="263" t="s">
        <v>709</v>
      </c>
      <c r="C446" s="261">
        <v>6</v>
      </c>
      <c r="D446" s="261">
        <f t="shared" si="20"/>
        <v>0</v>
      </c>
      <c r="E446" s="262">
        <v>6</v>
      </c>
    </row>
    <row r="447" spans="1:7" ht="19.7" customHeight="1">
      <c r="A447" s="264">
        <v>2130114</v>
      </c>
      <c r="B447" s="263" t="s">
        <v>710</v>
      </c>
      <c r="C447" s="261">
        <v>5</v>
      </c>
      <c r="D447" s="261">
        <f t="shared" si="20"/>
        <v>0</v>
      </c>
      <c r="E447" s="262">
        <v>5</v>
      </c>
    </row>
    <row r="448" spans="1:7" ht="19.7" customHeight="1">
      <c r="A448" s="264">
        <v>2130124</v>
      </c>
      <c r="B448" s="263" t="s">
        <v>711</v>
      </c>
      <c r="C448" s="261">
        <v>8</v>
      </c>
      <c r="D448" s="261">
        <f t="shared" si="20"/>
        <v>0</v>
      </c>
      <c r="E448" s="262">
        <v>8</v>
      </c>
    </row>
    <row r="449" spans="1:5" ht="19.7" customHeight="1">
      <c r="A449" s="264">
        <v>2130125</v>
      </c>
      <c r="B449" s="263" t="s">
        <v>712</v>
      </c>
      <c r="C449" s="261">
        <v>100</v>
      </c>
      <c r="D449" s="261">
        <f t="shared" si="20"/>
        <v>0</v>
      </c>
      <c r="E449" s="262">
        <v>100</v>
      </c>
    </row>
    <row r="450" spans="1:5" ht="19.7" customHeight="1">
      <c r="A450" s="264">
        <v>2130126</v>
      </c>
      <c r="B450" s="263" t="s">
        <v>713</v>
      </c>
      <c r="C450" s="261">
        <v>5</v>
      </c>
      <c r="D450" s="261">
        <f t="shared" si="20"/>
        <v>0</v>
      </c>
      <c r="E450" s="262">
        <v>5</v>
      </c>
    </row>
    <row r="451" spans="1:5" ht="19.7" customHeight="1">
      <c r="A451" s="264">
        <v>2130135</v>
      </c>
      <c r="B451" s="263" t="s">
        <v>714</v>
      </c>
      <c r="C451" s="261">
        <v>10</v>
      </c>
      <c r="D451" s="261">
        <f t="shared" si="20"/>
        <v>0</v>
      </c>
      <c r="E451" s="262">
        <v>10</v>
      </c>
    </row>
    <row r="452" spans="1:5" ht="19.7" customHeight="1">
      <c r="A452" s="264">
        <v>2130148</v>
      </c>
      <c r="B452" s="263" t="s">
        <v>715</v>
      </c>
      <c r="C452" s="261">
        <v>12</v>
      </c>
      <c r="D452" s="261">
        <f t="shared" si="20"/>
        <v>0</v>
      </c>
      <c r="E452" s="262">
        <v>12</v>
      </c>
    </row>
    <row r="453" spans="1:5" ht="19.7" customHeight="1">
      <c r="A453" s="264">
        <v>2130199</v>
      </c>
      <c r="B453" s="263" t="s">
        <v>716</v>
      </c>
      <c r="C453" s="261">
        <v>224</v>
      </c>
      <c r="D453" s="261">
        <f t="shared" si="20"/>
        <v>0</v>
      </c>
      <c r="E453" s="262">
        <v>224</v>
      </c>
    </row>
    <row r="454" spans="1:5" ht="19.7" customHeight="1">
      <c r="A454" s="264">
        <v>21302</v>
      </c>
      <c r="B454" s="260" t="s">
        <v>717</v>
      </c>
      <c r="C454" s="261">
        <f>1545-428</f>
        <v>1117</v>
      </c>
      <c r="D454" s="261">
        <f t="shared" ref="D454" si="21">+C454-E454</f>
        <v>867</v>
      </c>
      <c r="E454" s="262">
        <v>250</v>
      </c>
    </row>
    <row r="455" spans="1:5" ht="19.7" customHeight="1">
      <c r="A455" s="264">
        <v>2130201</v>
      </c>
      <c r="B455" s="263" t="s">
        <v>372</v>
      </c>
      <c r="C455" s="261">
        <f>1103-428</f>
        <v>675</v>
      </c>
      <c r="D455" s="261">
        <f t="shared" ref="D455:D486" si="22">+C455-E455</f>
        <v>675</v>
      </c>
      <c r="E455" s="262"/>
    </row>
    <row r="456" spans="1:5" ht="19.7" customHeight="1">
      <c r="A456" s="264">
        <v>2130202</v>
      </c>
      <c r="B456" s="263" t="s">
        <v>373</v>
      </c>
      <c r="C456" s="261">
        <v>36</v>
      </c>
      <c r="D456" s="261">
        <f t="shared" si="22"/>
        <v>36</v>
      </c>
      <c r="E456" s="262"/>
    </row>
    <row r="457" spans="1:5" ht="19.7" customHeight="1">
      <c r="A457" s="264">
        <v>2130205</v>
      </c>
      <c r="B457" s="263" t="s">
        <v>718</v>
      </c>
      <c r="C457" s="261">
        <v>170</v>
      </c>
      <c r="D457" s="261">
        <f t="shared" si="22"/>
        <v>0</v>
      </c>
      <c r="E457" s="262">
        <v>170</v>
      </c>
    </row>
    <row r="458" spans="1:5" ht="19.7" customHeight="1">
      <c r="A458" s="264">
        <v>2130207</v>
      </c>
      <c r="B458" s="263" t="s">
        <v>719</v>
      </c>
      <c r="C458" s="261">
        <v>3</v>
      </c>
      <c r="D458" s="261">
        <f t="shared" si="22"/>
        <v>0</v>
      </c>
      <c r="E458" s="262">
        <v>3</v>
      </c>
    </row>
    <row r="459" spans="1:5" ht="19.7" customHeight="1">
      <c r="A459" s="264">
        <v>2130209</v>
      </c>
      <c r="B459" s="263" t="s">
        <v>720</v>
      </c>
      <c r="C459" s="261">
        <v>15</v>
      </c>
      <c r="D459" s="261">
        <f t="shared" si="22"/>
        <v>0</v>
      </c>
      <c r="E459" s="262">
        <v>15</v>
      </c>
    </row>
    <row r="460" spans="1:5" ht="19.7" customHeight="1">
      <c r="A460" s="264">
        <v>2130211</v>
      </c>
      <c r="B460" s="263" t="s">
        <v>721</v>
      </c>
      <c r="C460" s="261">
        <v>17</v>
      </c>
      <c r="D460" s="261">
        <f t="shared" si="22"/>
        <v>17</v>
      </c>
      <c r="E460" s="262"/>
    </row>
    <row r="461" spans="1:5" ht="19.7" customHeight="1">
      <c r="A461" s="264">
        <v>2130212</v>
      </c>
      <c r="B461" s="263" t="s">
        <v>722</v>
      </c>
      <c r="C461" s="261">
        <v>69</v>
      </c>
      <c r="D461" s="261">
        <f t="shared" si="22"/>
        <v>29</v>
      </c>
      <c r="E461" s="262">
        <v>40</v>
      </c>
    </row>
    <row r="462" spans="1:5" ht="19.7" customHeight="1">
      <c r="A462" s="264">
        <v>2130213</v>
      </c>
      <c r="B462" s="263" t="s">
        <v>723</v>
      </c>
      <c r="C462" s="261">
        <v>2</v>
      </c>
      <c r="D462" s="261">
        <f t="shared" si="22"/>
        <v>0</v>
      </c>
      <c r="E462" s="262">
        <v>2</v>
      </c>
    </row>
    <row r="463" spans="1:5" ht="19.7" customHeight="1">
      <c r="A463" s="264">
        <v>2130216</v>
      </c>
      <c r="B463" s="263" t="s">
        <v>724</v>
      </c>
      <c r="C463" s="261">
        <v>20</v>
      </c>
      <c r="D463" s="261">
        <f t="shared" si="22"/>
        <v>20</v>
      </c>
      <c r="E463" s="262"/>
    </row>
    <row r="464" spans="1:5" ht="19.7" customHeight="1">
      <c r="A464" s="264">
        <v>2130234</v>
      </c>
      <c r="B464" s="263" t="s">
        <v>725</v>
      </c>
      <c r="C464" s="261">
        <v>90</v>
      </c>
      <c r="D464" s="261">
        <f t="shared" si="22"/>
        <v>70</v>
      </c>
      <c r="E464" s="262">
        <v>20</v>
      </c>
    </row>
    <row r="465" spans="1:5" ht="19.7" customHeight="1">
      <c r="A465" s="264">
        <v>2130299</v>
      </c>
      <c r="B465" s="263" t="s">
        <v>726</v>
      </c>
      <c r="C465" s="261">
        <v>20</v>
      </c>
      <c r="D465" s="261">
        <f t="shared" si="22"/>
        <v>20</v>
      </c>
      <c r="E465" s="262"/>
    </row>
    <row r="466" spans="1:5" ht="19.7" customHeight="1">
      <c r="A466" s="264">
        <v>21303</v>
      </c>
      <c r="B466" s="260" t="s">
        <v>727</v>
      </c>
      <c r="C466" s="261">
        <v>3106</v>
      </c>
      <c r="D466" s="261">
        <f t="shared" si="22"/>
        <v>1272</v>
      </c>
      <c r="E466" s="262">
        <v>1834</v>
      </c>
    </row>
    <row r="467" spans="1:5" ht="19.7" customHeight="1">
      <c r="A467" s="264">
        <v>2130301</v>
      </c>
      <c r="B467" s="263" t="s">
        <v>372</v>
      </c>
      <c r="C467" s="261">
        <v>711</v>
      </c>
      <c r="D467" s="261">
        <f t="shared" si="22"/>
        <v>711</v>
      </c>
      <c r="E467" s="262"/>
    </row>
    <row r="468" spans="1:5" ht="19.7" customHeight="1">
      <c r="A468" s="264">
        <v>2130302</v>
      </c>
      <c r="B468" s="263" t="s">
        <v>373</v>
      </c>
      <c r="C468" s="261">
        <v>45</v>
      </c>
      <c r="D468" s="261">
        <f t="shared" si="22"/>
        <v>45</v>
      </c>
      <c r="E468" s="262"/>
    </row>
    <row r="469" spans="1:5" ht="19.7" customHeight="1">
      <c r="A469" s="264">
        <v>2130304</v>
      </c>
      <c r="B469" s="263" t="s">
        <v>728</v>
      </c>
      <c r="C469" s="261">
        <v>634</v>
      </c>
      <c r="D469" s="261">
        <f t="shared" si="22"/>
        <v>0</v>
      </c>
      <c r="E469" s="262">
        <v>634</v>
      </c>
    </row>
    <row r="470" spans="1:5" ht="19.7" customHeight="1">
      <c r="A470" s="264">
        <v>2130305</v>
      </c>
      <c r="B470" s="263" t="s">
        <v>729</v>
      </c>
      <c r="C470" s="261">
        <v>823</v>
      </c>
      <c r="D470" s="261">
        <f t="shared" si="22"/>
        <v>0</v>
      </c>
      <c r="E470" s="262">
        <v>823</v>
      </c>
    </row>
    <row r="471" spans="1:5" ht="19.7" customHeight="1">
      <c r="A471" s="264">
        <v>2130306</v>
      </c>
      <c r="B471" s="263" t="s">
        <v>730</v>
      </c>
      <c r="C471" s="261">
        <v>3</v>
      </c>
      <c r="D471" s="261">
        <f t="shared" si="22"/>
        <v>0</v>
      </c>
      <c r="E471" s="262">
        <v>3</v>
      </c>
    </row>
    <row r="472" spans="1:5" ht="19.7" customHeight="1">
      <c r="A472" s="264">
        <v>2130308</v>
      </c>
      <c r="B472" s="263" t="s">
        <v>731</v>
      </c>
      <c r="C472" s="261">
        <v>30</v>
      </c>
      <c r="D472" s="261">
        <f t="shared" si="22"/>
        <v>0</v>
      </c>
      <c r="E472" s="262">
        <v>30</v>
      </c>
    </row>
    <row r="473" spans="1:5" ht="19.7" customHeight="1">
      <c r="A473" s="264">
        <v>2130311</v>
      </c>
      <c r="B473" s="263" t="s">
        <v>732</v>
      </c>
      <c r="C473" s="261">
        <v>50</v>
      </c>
      <c r="D473" s="261">
        <f t="shared" si="22"/>
        <v>0</v>
      </c>
      <c r="E473" s="262">
        <v>50</v>
      </c>
    </row>
    <row r="474" spans="1:5" ht="19.7" customHeight="1">
      <c r="A474" s="264">
        <v>2130312</v>
      </c>
      <c r="B474" s="263" t="s">
        <v>733</v>
      </c>
      <c r="C474" s="261">
        <v>174</v>
      </c>
      <c r="D474" s="261">
        <f t="shared" si="22"/>
        <v>174</v>
      </c>
      <c r="E474" s="262"/>
    </row>
    <row r="475" spans="1:5" ht="19.7" customHeight="1">
      <c r="A475" s="264">
        <v>2130313</v>
      </c>
      <c r="B475" s="263" t="s">
        <v>734</v>
      </c>
      <c r="C475" s="261">
        <v>90</v>
      </c>
      <c r="D475" s="261">
        <f t="shared" si="22"/>
        <v>90</v>
      </c>
      <c r="E475" s="262"/>
    </row>
    <row r="476" spans="1:5" ht="19.7" customHeight="1">
      <c r="A476" s="264">
        <v>2130314</v>
      </c>
      <c r="B476" s="263" t="s">
        <v>735</v>
      </c>
      <c r="C476" s="261">
        <v>244</v>
      </c>
      <c r="D476" s="261">
        <f t="shared" si="22"/>
        <v>233</v>
      </c>
      <c r="E476" s="262">
        <v>11</v>
      </c>
    </row>
    <row r="477" spans="1:5" ht="19.7" customHeight="1">
      <c r="A477" s="264">
        <v>2130321</v>
      </c>
      <c r="B477" s="263" t="s">
        <v>736</v>
      </c>
      <c r="C477" s="261">
        <v>102</v>
      </c>
      <c r="D477" s="261">
        <f t="shared" si="22"/>
        <v>0</v>
      </c>
      <c r="E477" s="262">
        <v>102</v>
      </c>
    </row>
    <row r="478" spans="1:5" ht="19.7" customHeight="1">
      <c r="A478" s="264">
        <v>2130399</v>
      </c>
      <c r="B478" s="263" t="s">
        <v>737</v>
      </c>
      <c r="C478" s="261">
        <v>200</v>
      </c>
      <c r="D478" s="261">
        <f t="shared" si="22"/>
        <v>19</v>
      </c>
      <c r="E478" s="262">
        <v>181</v>
      </c>
    </row>
    <row r="479" spans="1:5" ht="19.7" customHeight="1">
      <c r="A479" s="264">
        <v>21305</v>
      </c>
      <c r="B479" s="260" t="s">
        <v>738</v>
      </c>
      <c r="C479" s="261">
        <v>7183</v>
      </c>
      <c r="D479" s="261">
        <f t="shared" si="22"/>
        <v>1959</v>
      </c>
      <c r="E479" s="262">
        <v>5224</v>
      </c>
    </row>
    <row r="480" spans="1:5" ht="19.7" customHeight="1">
      <c r="A480" s="264">
        <v>2130501</v>
      </c>
      <c r="B480" s="263" t="s">
        <v>372</v>
      </c>
      <c r="C480" s="261">
        <v>322</v>
      </c>
      <c r="D480" s="261">
        <f t="shared" si="22"/>
        <v>322</v>
      </c>
      <c r="E480" s="262"/>
    </row>
    <row r="481" spans="1:7" ht="19.7" customHeight="1">
      <c r="A481" s="264">
        <v>2130502</v>
      </c>
      <c r="B481" s="263" t="s">
        <v>373</v>
      </c>
      <c r="C481" s="261">
        <v>5</v>
      </c>
      <c r="D481" s="261">
        <f t="shared" si="22"/>
        <v>5</v>
      </c>
      <c r="E481" s="262"/>
    </row>
    <row r="482" spans="1:7" ht="19.7" customHeight="1">
      <c r="A482" s="264">
        <v>2130504</v>
      </c>
      <c r="B482" s="263" t="s">
        <v>739</v>
      </c>
      <c r="C482" s="261">
        <v>6498</v>
      </c>
      <c r="D482" s="261">
        <f t="shared" si="22"/>
        <v>1366</v>
      </c>
      <c r="E482" s="262">
        <v>5132</v>
      </c>
    </row>
    <row r="483" spans="1:7" ht="19.7" customHeight="1">
      <c r="A483" s="264">
        <v>2130506</v>
      </c>
      <c r="B483" s="263" t="s">
        <v>740</v>
      </c>
      <c r="C483" s="261">
        <v>186</v>
      </c>
      <c r="D483" s="261">
        <f t="shared" si="22"/>
        <v>186</v>
      </c>
      <c r="E483" s="262"/>
    </row>
    <row r="484" spans="1:7" ht="19.7" customHeight="1">
      <c r="A484" s="264">
        <v>2130599</v>
      </c>
      <c r="B484" s="263" t="s">
        <v>741</v>
      </c>
      <c r="C484" s="261">
        <v>172</v>
      </c>
      <c r="D484" s="261">
        <f t="shared" si="22"/>
        <v>80</v>
      </c>
      <c r="E484" s="262">
        <v>92</v>
      </c>
    </row>
    <row r="485" spans="1:7" ht="20.25" customHeight="1">
      <c r="A485" s="264">
        <v>21306</v>
      </c>
      <c r="B485" s="260" t="s">
        <v>742</v>
      </c>
      <c r="C485" s="261">
        <v>506</v>
      </c>
      <c r="D485" s="261">
        <f t="shared" si="22"/>
        <v>434</v>
      </c>
      <c r="E485" s="262">
        <v>72</v>
      </c>
    </row>
    <row r="486" spans="1:7" ht="20.25" customHeight="1">
      <c r="A486" s="264">
        <v>2130601</v>
      </c>
      <c r="B486" s="263" t="s">
        <v>512</v>
      </c>
      <c r="C486" s="261">
        <v>11</v>
      </c>
      <c r="D486" s="261">
        <f t="shared" si="22"/>
        <v>0</v>
      </c>
      <c r="E486" s="262">
        <v>11</v>
      </c>
    </row>
    <row r="487" spans="1:7" ht="20.25" customHeight="1">
      <c r="A487" s="264">
        <v>2130602</v>
      </c>
      <c r="B487" s="263" t="s">
        <v>743</v>
      </c>
      <c r="C487" s="261">
        <v>85</v>
      </c>
      <c r="D487" s="261">
        <f t="shared" ref="D487:D517" si="23">+C487-E487</f>
        <v>24</v>
      </c>
      <c r="E487" s="262">
        <v>61</v>
      </c>
    </row>
    <row r="488" spans="1:7" ht="20.25" customHeight="1">
      <c r="A488" s="264">
        <v>2130603</v>
      </c>
      <c r="B488" s="263" t="s">
        <v>744</v>
      </c>
      <c r="C488" s="261">
        <v>70</v>
      </c>
      <c r="D488" s="261">
        <f t="shared" si="23"/>
        <v>70</v>
      </c>
      <c r="E488" s="262"/>
    </row>
    <row r="489" spans="1:7" ht="20.25" customHeight="1">
      <c r="A489" s="264">
        <v>2130699</v>
      </c>
      <c r="B489" s="263" t="s">
        <v>745</v>
      </c>
      <c r="C489" s="261">
        <v>340</v>
      </c>
      <c r="D489" s="261">
        <f t="shared" si="23"/>
        <v>340</v>
      </c>
      <c r="E489" s="262"/>
    </row>
    <row r="490" spans="1:7" ht="20.25" customHeight="1">
      <c r="A490" s="264">
        <v>21308</v>
      </c>
      <c r="B490" s="260" t="s">
        <v>746</v>
      </c>
      <c r="C490" s="261">
        <v>20</v>
      </c>
      <c r="D490" s="261">
        <f t="shared" si="23"/>
        <v>0</v>
      </c>
      <c r="E490" s="262">
        <v>20</v>
      </c>
    </row>
    <row r="491" spans="1:7" ht="20.25" customHeight="1">
      <c r="A491" s="264">
        <v>2130804</v>
      </c>
      <c r="B491" s="263" t="s">
        <v>747</v>
      </c>
      <c r="C491" s="261">
        <v>20</v>
      </c>
      <c r="D491" s="261">
        <f t="shared" si="23"/>
        <v>0</v>
      </c>
      <c r="E491" s="262">
        <v>20</v>
      </c>
    </row>
    <row r="492" spans="1:7" ht="20.25" customHeight="1">
      <c r="A492" s="264">
        <v>21399</v>
      </c>
      <c r="B492" s="260" t="s">
        <v>748</v>
      </c>
      <c r="C492" s="261">
        <v>225</v>
      </c>
      <c r="D492" s="261">
        <f t="shared" si="23"/>
        <v>225</v>
      </c>
      <c r="E492" s="262"/>
    </row>
    <row r="493" spans="1:7" ht="20.25" customHeight="1">
      <c r="A493" s="264">
        <v>2139999</v>
      </c>
      <c r="B493" s="263" t="s">
        <v>749</v>
      </c>
      <c r="C493" s="261">
        <v>225</v>
      </c>
      <c r="D493" s="261">
        <f t="shared" si="23"/>
        <v>225</v>
      </c>
      <c r="E493" s="262"/>
    </row>
    <row r="494" spans="1:7" ht="20.25" customHeight="1">
      <c r="A494" s="264">
        <v>214</v>
      </c>
      <c r="B494" s="260" t="s">
        <v>750</v>
      </c>
      <c r="C494" s="261">
        <f>35068-15003</f>
        <v>20065</v>
      </c>
      <c r="D494" s="261">
        <f t="shared" si="23"/>
        <v>4325</v>
      </c>
      <c r="E494" s="262">
        <v>15740</v>
      </c>
      <c r="G494" s="253">
        <f>35068-20065</f>
        <v>15003</v>
      </c>
    </row>
    <row r="495" spans="1:7" ht="20.25" customHeight="1">
      <c r="A495" s="264">
        <v>21401</v>
      </c>
      <c r="B495" s="260" t="s">
        <v>751</v>
      </c>
      <c r="C495" s="261">
        <v>5964</v>
      </c>
      <c r="D495" s="261">
        <f t="shared" si="23"/>
        <v>3885</v>
      </c>
      <c r="E495" s="262">
        <v>2079</v>
      </c>
    </row>
    <row r="496" spans="1:7" ht="20.25" customHeight="1">
      <c r="A496" s="264">
        <v>2140101</v>
      </c>
      <c r="B496" s="263" t="s">
        <v>372</v>
      </c>
      <c r="C496" s="261">
        <v>3062</v>
      </c>
      <c r="D496" s="261">
        <f t="shared" si="23"/>
        <v>3062</v>
      </c>
      <c r="E496" s="262"/>
    </row>
    <row r="497" spans="1:5" ht="20.25" customHeight="1">
      <c r="A497" s="264">
        <v>2140102</v>
      </c>
      <c r="B497" s="263" t="s">
        <v>373</v>
      </c>
      <c r="C497" s="261">
        <v>262</v>
      </c>
      <c r="D497" s="261">
        <f t="shared" si="23"/>
        <v>262</v>
      </c>
      <c r="E497" s="262"/>
    </row>
    <row r="498" spans="1:5" ht="20.25" customHeight="1">
      <c r="A498" s="264">
        <v>2140112</v>
      </c>
      <c r="B498" s="263" t="s">
        <v>752</v>
      </c>
      <c r="C498" s="261">
        <v>179</v>
      </c>
      <c r="D498" s="261">
        <f t="shared" si="23"/>
        <v>179</v>
      </c>
      <c r="E498" s="262"/>
    </row>
    <row r="499" spans="1:5" ht="20.25" customHeight="1">
      <c r="A499" s="264">
        <v>2140131</v>
      </c>
      <c r="B499" s="263" t="s">
        <v>753</v>
      </c>
      <c r="C499" s="261">
        <v>382</v>
      </c>
      <c r="D499" s="261">
        <f t="shared" si="23"/>
        <v>382</v>
      </c>
      <c r="E499" s="262"/>
    </row>
    <row r="500" spans="1:5" ht="20.25" customHeight="1">
      <c r="A500" s="264">
        <v>2140199</v>
      </c>
      <c r="B500" s="263" t="s">
        <v>754</v>
      </c>
      <c r="C500" s="261">
        <v>2079</v>
      </c>
      <c r="D500" s="261">
        <f t="shared" si="23"/>
        <v>0</v>
      </c>
      <c r="E500" s="262">
        <v>2079</v>
      </c>
    </row>
    <row r="501" spans="1:5" ht="20.25" customHeight="1">
      <c r="A501" s="264">
        <v>21404</v>
      </c>
      <c r="B501" s="260" t="s">
        <v>755</v>
      </c>
      <c r="C501" s="261">
        <v>7357</v>
      </c>
      <c r="D501" s="261">
        <f t="shared" si="23"/>
        <v>0</v>
      </c>
      <c r="E501" s="262">
        <v>7357</v>
      </c>
    </row>
    <row r="502" spans="1:5" ht="20.25" customHeight="1">
      <c r="A502" s="264">
        <v>2140401</v>
      </c>
      <c r="B502" s="263" t="s">
        <v>756</v>
      </c>
      <c r="C502" s="261">
        <v>5489</v>
      </c>
      <c r="D502" s="261">
        <f t="shared" si="23"/>
        <v>0</v>
      </c>
      <c r="E502" s="262">
        <v>5489</v>
      </c>
    </row>
    <row r="503" spans="1:5" ht="20.25" customHeight="1">
      <c r="A503" s="264">
        <v>2140402</v>
      </c>
      <c r="B503" s="263" t="s">
        <v>757</v>
      </c>
      <c r="C503" s="261">
        <v>359</v>
      </c>
      <c r="D503" s="261">
        <f t="shared" si="23"/>
        <v>0</v>
      </c>
      <c r="E503" s="262">
        <v>359</v>
      </c>
    </row>
    <row r="504" spans="1:5" ht="20.25" customHeight="1">
      <c r="A504" s="264">
        <v>2140403</v>
      </c>
      <c r="B504" s="263" t="s">
        <v>758</v>
      </c>
      <c r="C504" s="261">
        <v>1309</v>
      </c>
      <c r="D504" s="261">
        <f t="shared" si="23"/>
        <v>0</v>
      </c>
      <c r="E504" s="262">
        <v>1309</v>
      </c>
    </row>
    <row r="505" spans="1:5" ht="20.25" customHeight="1">
      <c r="A505" s="264">
        <v>2140499</v>
      </c>
      <c r="B505" s="263" t="s">
        <v>759</v>
      </c>
      <c r="C505" s="261">
        <v>200</v>
      </c>
      <c r="D505" s="261">
        <f t="shared" si="23"/>
        <v>0</v>
      </c>
      <c r="E505" s="262">
        <v>200</v>
      </c>
    </row>
    <row r="506" spans="1:5" ht="20.25" customHeight="1">
      <c r="A506" s="264">
        <v>21405</v>
      </c>
      <c r="B506" s="260" t="s">
        <v>760</v>
      </c>
      <c r="C506" s="261">
        <v>2</v>
      </c>
      <c r="D506" s="261">
        <f t="shared" si="23"/>
        <v>2</v>
      </c>
      <c r="E506" s="262"/>
    </row>
    <row r="507" spans="1:5" ht="20.25" customHeight="1">
      <c r="A507" s="264">
        <v>2140501</v>
      </c>
      <c r="B507" s="263" t="s">
        <v>372</v>
      </c>
      <c r="C507" s="261">
        <v>2</v>
      </c>
      <c r="D507" s="261">
        <f t="shared" si="23"/>
        <v>2</v>
      </c>
      <c r="E507" s="262"/>
    </row>
    <row r="508" spans="1:5" ht="20.25" customHeight="1">
      <c r="A508" s="264">
        <v>21406</v>
      </c>
      <c r="B508" s="260" t="s">
        <v>761</v>
      </c>
      <c r="C508" s="261">
        <f>16277-10003</f>
        <v>6274</v>
      </c>
      <c r="D508" s="261">
        <f t="shared" si="23"/>
        <v>0</v>
      </c>
      <c r="E508" s="262">
        <v>6274</v>
      </c>
    </row>
    <row r="509" spans="1:5" ht="20.25" customHeight="1">
      <c r="A509" s="264">
        <v>2140601</v>
      </c>
      <c r="B509" s="263" t="s">
        <v>762</v>
      </c>
      <c r="C509" s="261">
        <v>4051</v>
      </c>
      <c r="D509" s="261">
        <f t="shared" si="23"/>
        <v>0</v>
      </c>
      <c r="E509" s="262">
        <v>4051</v>
      </c>
    </row>
    <row r="510" spans="1:5" ht="20.25" customHeight="1">
      <c r="A510" s="264">
        <v>2140699</v>
      </c>
      <c r="B510" s="263" t="s">
        <v>763</v>
      </c>
      <c r="C510" s="261">
        <v>2223</v>
      </c>
      <c r="D510" s="261">
        <f t="shared" si="23"/>
        <v>0</v>
      </c>
      <c r="E510" s="262">
        <v>2223</v>
      </c>
    </row>
    <row r="511" spans="1:5" ht="20.25" customHeight="1">
      <c r="A511" s="264">
        <v>21499</v>
      </c>
      <c r="B511" s="260" t="s">
        <v>764</v>
      </c>
      <c r="C511" s="261">
        <v>468</v>
      </c>
      <c r="D511" s="261">
        <f t="shared" si="23"/>
        <v>438</v>
      </c>
      <c r="E511" s="262">
        <v>30</v>
      </c>
    </row>
    <row r="512" spans="1:5" ht="20.25" customHeight="1">
      <c r="A512" s="264">
        <v>2149901</v>
      </c>
      <c r="B512" s="263" t="s">
        <v>765</v>
      </c>
      <c r="C512" s="261">
        <v>350</v>
      </c>
      <c r="D512" s="261">
        <f t="shared" si="23"/>
        <v>350</v>
      </c>
      <c r="E512" s="262"/>
    </row>
    <row r="513" spans="1:7" ht="20.25" customHeight="1">
      <c r="A513" s="264">
        <v>2149999</v>
      </c>
      <c r="B513" s="263" t="s">
        <v>766</v>
      </c>
      <c r="C513" s="261">
        <v>118</v>
      </c>
      <c r="D513" s="261">
        <f t="shared" si="23"/>
        <v>88</v>
      </c>
      <c r="E513" s="262">
        <v>30</v>
      </c>
    </row>
    <row r="514" spans="1:7" ht="20.25" customHeight="1">
      <c r="A514" s="264">
        <v>215</v>
      </c>
      <c r="B514" s="260" t="s">
        <v>767</v>
      </c>
      <c r="C514" s="261">
        <f>2402-102</f>
        <v>2300</v>
      </c>
      <c r="D514" s="261">
        <f t="shared" si="23"/>
        <v>1547</v>
      </c>
      <c r="E514" s="262">
        <v>753</v>
      </c>
      <c r="G514" s="253">
        <f>2402-2300</f>
        <v>102</v>
      </c>
    </row>
    <row r="515" spans="1:7" ht="20.25" customHeight="1">
      <c r="A515" s="264">
        <v>21501</v>
      </c>
      <c r="B515" s="260" t="s">
        <v>768</v>
      </c>
      <c r="C515" s="261">
        <v>144</v>
      </c>
      <c r="D515" s="261">
        <f t="shared" si="23"/>
        <v>0</v>
      </c>
      <c r="E515" s="262">
        <v>144</v>
      </c>
    </row>
    <row r="516" spans="1:7" ht="20.25" customHeight="1">
      <c r="A516" s="264">
        <v>2150199</v>
      </c>
      <c r="B516" s="263" t="s">
        <v>769</v>
      </c>
      <c r="C516" s="261">
        <v>144</v>
      </c>
      <c r="D516" s="261">
        <f t="shared" si="23"/>
        <v>0</v>
      </c>
      <c r="E516" s="262">
        <v>144</v>
      </c>
    </row>
    <row r="517" spans="1:7" ht="20.25" customHeight="1">
      <c r="A517" s="264">
        <v>21505</v>
      </c>
      <c r="B517" s="260" t="s">
        <v>770</v>
      </c>
      <c r="C517" s="261">
        <v>288</v>
      </c>
      <c r="D517" s="261">
        <f t="shared" si="23"/>
        <v>162</v>
      </c>
      <c r="E517" s="262">
        <v>126</v>
      </c>
    </row>
    <row r="518" spans="1:7" ht="20.25" customHeight="1">
      <c r="A518" s="264">
        <v>2150501</v>
      </c>
      <c r="B518" s="263" t="s">
        <v>372</v>
      </c>
      <c r="C518" s="261">
        <v>69</v>
      </c>
      <c r="D518" s="261">
        <f t="shared" ref="D518" si="24">+C518-E518</f>
        <v>69</v>
      </c>
      <c r="E518" s="262"/>
    </row>
    <row r="519" spans="1:7" ht="20.25" customHeight="1">
      <c r="A519" s="264">
        <v>2150502</v>
      </c>
      <c r="B519" s="263" t="s">
        <v>373</v>
      </c>
      <c r="C519" s="261">
        <v>30</v>
      </c>
      <c r="D519" s="261">
        <f t="shared" ref="D519:D550" si="25">+C519-E519</f>
        <v>30</v>
      </c>
      <c r="E519" s="262"/>
    </row>
    <row r="520" spans="1:7" ht="20.25" customHeight="1">
      <c r="A520" s="264">
        <v>2150508</v>
      </c>
      <c r="B520" s="263" t="s">
        <v>771</v>
      </c>
      <c r="C520" s="261">
        <v>118</v>
      </c>
      <c r="D520" s="261">
        <f t="shared" si="25"/>
        <v>6</v>
      </c>
      <c r="E520" s="262">
        <v>112</v>
      </c>
    </row>
    <row r="521" spans="1:7" ht="20.25" customHeight="1">
      <c r="A521" s="264">
        <v>2150599</v>
      </c>
      <c r="B521" s="263" t="s">
        <v>772</v>
      </c>
      <c r="C521" s="261">
        <v>71</v>
      </c>
      <c r="D521" s="261">
        <f t="shared" si="25"/>
        <v>57</v>
      </c>
      <c r="E521" s="262">
        <v>14</v>
      </c>
    </row>
    <row r="522" spans="1:7" ht="20.25" customHeight="1">
      <c r="A522" s="264">
        <v>21506</v>
      </c>
      <c r="B522" s="260" t="s">
        <v>773</v>
      </c>
      <c r="C522" s="261">
        <v>528</v>
      </c>
      <c r="D522" s="261">
        <f t="shared" si="25"/>
        <v>506</v>
      </c>
      <c r="E522" s="262">
        <v>22</v>
      </c>
    </row>
    <row r="523" spans="1:7" ht="20.25" customHeight="1">
      <c r="A523" s="264">
        <v>2150601</v>
      </c>
      <c r="B523" s="263" t="s">
        <v>372</v>
      </c>
      <c r="C523" s="261">
        <v>70</v>
      </c>
      <c r="D523" s="261">
        <f t="shared" si="25"/>
        <v>70</v>
      </c>
      <c r="E523" s="262"/>
    </row>
    <row r="524" spans="1:7" ht="20.25" customHeight="1">
      <c r="A524" s="264">
        <v>2150602</v>
      </c>
      <c r="B524" s="263" t="s">
        <v>373</v>
      </c>
      <c r="C524" s="261">
        <v>89</v>
      </c>
      <c r="D524" s="261">
        <f t="shared" si="25"/>
        <v>89</v>
      </c>
      <c r="E524" s="262"/>
    </row>
    <row r="525" spans="1:7" ht="20.25" customHeight="1">
      <c r="A525" s="264">
        <v>2150605</v>
      </c>
      <c r="B525" s="263" t="s">
        <v>774</v>
      </c>
      <c r="C525" s="261">
        <v>328</v>
      </c>
      <c r="D525" s="261">
        <f t="shared" si="25"/>
        <v>306</v>
      </c>
      <c r="E525" s="262">
        <v>22</v>
      </c>
    </row>
    <row r="526" spans="1:7" ht="20.25" customHeight="1">
      <c r="A526" s="264">
        <v>2150606</v>
      </c>
      <c r="B526" s="263" t="s">
        <v>775</v>
      </c>
      <c r="C526" s="261">
        <v>21</v>
      </c>
      <c r="D526" s="261">
        <f t="shared" si="25"/>
        <v>21</v>
      </c>
      <c r="E526" s="262"/>
    </row>
    <row r="527" spans="1:7" ht="20.25" customHeight="1">
      <c r="A527" s="264">
        <v>2150699</v>
      </c>
      <c r="B527" s="263" t="s">
        <v>776</v>
      </c>
      <c r="C527" s="261">
        <v>20</v>
      </c>
      <c r="D527" s="261">
        <f t="shared" si="25"/>
        <v>20</v>
      </c>
      <c r="E527" s="262"/>
    </row>
    <row r="528" spans="1:7" ht="20.25" customHeight="1">
      <c r="A528" s="264">
        <v>21507</v>
      </c>
      <c r="B528" s="260" t="s">
        <v>777</v>
      </c>
      <c r="C528" s="261">
        <v>953</v>
      </c>
      <c r="D528" s="261">
        <f t="shared" si="25"/>
        <v>879</v>
      </c>
      <c r="E528" s="262">
        <v>74</v>
      </c>
    </row>
    <row r="529" spans="1:7" ht="20.25" customHeight="1">
      <c r="A529" s="264">
        <v>2150701</v>
      </c>
      <c r="B529" s="263" t="s">
        <v>372</v>
      </c>
      <c r="C529" s="261">
        <v>394</v>
      </c>
      <c r="D529" s="261">
        <f t="shared" si="25"/>
        <v>394</v>
      </c>
      <c r="E529" s="262"/>
    </row>
    <row r="530" spans="1:7" ht="20.25" customHeight="1">
      <c r="A530" s="264">
        <v>2150702</v>
      </c>
      <c r="B530" s="263" t="s">
        <v>373</v>
      </c>
      <c r="C530" s="261">
        <v>165</v>
      </c>
      <c r="D530" s="261">
        <f t="shared" si="25"/>
        <v>165</v>
      </c>
      <c r="E530" s="262"/>
    </row>
    <row r="531" spans="1:7" ht="20.25" customHeight="1">
      <c r="A531" s="264">
        <v>2150799</v>
      </c>
      <c r="B531" s="263" t="s">
        <v>778</v>
      </c>
      <c r="C531" s="261">
        <v>394</v>
      </c>
      <c r="D531" s="261">
        <f t="shared" si="25"/>
        <v>320</v>
      </c>
      <c r="E531" s="262">
        <f>310-236</f>
        <v>74</v>
      </c>
    </row>
    <row r="532" spans="1:7" ht="20.25" customHeight="1">
      <c r="A532" s="264">
        <v>21508</v>
      </c>
      <c r="B532" s="260" t="s">
        <v>779</v>
      </c>
      <c r="C532" s="261">
        <v>151</v>
      </c>
      <c r="D532" s="261">
        <f t="shared" si="25"/>
        <v>0</v>
      </c>
      <c r="E532" s="262">
        <v>151</v>
      </c>
    </row>
    <row r="533" spans="1:7" ht="20.25" customHeight="1">
      <c r="A533" s="264">
        <v>2150805</v>
      </c>
      <c r="B533" s="263" t="s">
        <v>780</v>
      </c>
      <c r="C533" s="261">
        <v>151</v>
      </c>
      <c r="D533" s="261">
        <f t="shared" si="25"/>
        <v>0</v>
      </c>
      <c r="E533" s="262">
        <v>151</v>
      </c>
    </row>
    <row r="534" spans="1:7" ht="20.25" customHeight="1">
      <c r="A534" s="264">
        <v>21599</v>
      </c>
      <c r="B534" s="260" t="s">
        <v>781</v>
      </c>
      <c r="C534" s="261">
        <v>236</v>
      </c>
      <c r="D534" s="261">
        <f t="shared" si="25"/>
        <v>0</v>
      </c>
      <c r="E534" s="262">
        <v>236</v>
      </c>
    </row>
    <row r="535" spans="1:7" ht="20.25" customHeight="1">
      <c r="A535" s="264">
        <v>2159999</v>
      </c>
      <c r="B535" s="263" t="s">
        <v>782</v>
      </c>
      <c r="C535" s="261">
        <f>338-102</f>
        <v>236</v>
      </c>
      <c r="D535" s="261">
        <f t="shared" si="25"/>
        <v>0</v>
      </c>
      <c r="E535" s="262">
        <v>236</v>
      </c>
    </row>
    <row r="536" spans="1:7" ht="20.25" customHeight="1">
      <c r="A536" s="264">
        <v>216</v>
      </c>
      <c r="B536" s="260" t="s">
        <v>783</v>
      </c>
      <c r="C536" s="261">
        <f>1746-166</f>
        <v>1580</v>
      </c>
      <c r="D536" s="261">
        <f t="shared" si="25"/>
        <v>845</v>
      </c>
      <c r="E536" s="262">
        <v>735</v>
      </c>
      <c r="G536" s="253">
        <f>1746-1580</f>
        <v>166</v>
      </c>
    </row>
    <row r="537" spans="1:7" ht="20.25" customHeight="1">
      <c r="A537" s="264">
        <v>21602</v>
      </c>
      <c r="B537" s="260" t="s">
        <v>784</v>
      </c>
      <c r="C537" s="261">
        <v>564</v>
      </c>
      <c r="D537" s="261">
        <f t="shared" si="25"/>
        <v>520</v>
      </c>
      <c r="E537" s="262">
        <v>44</v>
      </c>
    </row>
    <row r="538" spans="1:7" ht="20.25" customHeight="1">
      <c r="A538" s="264">
        <v>2160201</v>
      </c>
      <c r="B538" s="263" t="s">
        <v>372</v>
      </c>
      <c r="C538" s="261">
        <v>451</v>
      </c>
      <c r="D538" s="261">
        <f t="shared" si="25"/>
        <v>451</v>
      </c>
      <c r="E538" s="262"/>
    </row>
    <row r="539" spans="1:7" ht="20.25" customHeight="1">
      <c r="A539" s="264">
        <v>2160202</v>
      </c>
      <c r="B539" s="263" t="s">
        <v>373</v>
      </c>
      <c r="C539" s="261">
        <v>69</v>
      </c>
      <c r="D539" s="261">
        <f t="shared" si="25"/>
        <v>69</v>
      </c>
      <c r="E539" s="262"/>
    </row>
    <row r="540" spans="1:7" ht="20.25" customHeight="1">
      <c r="A540" s="264">
        <v>2160299</v>
      </c>
      <c r="B540" s="263" t="s">
        <v>785</v>
      </c>
      <c r="C540" s="261">
        <v>44</v>
      </c>
      <c r="D540" s="261">
        <f t="shared" si="25"/>
        <v>0</v>
      </c>
      <c r="E540" s="262">
        <v>44</v>
      </c>
    </row>
    <row r="541" spans="1:7" ht="20.25" customHeight="1">
      <c r="A541" s="264">
        <v>21605</v>
      </c>
      <c r="B541" s="260" t="s">
        <v>786</v>
      </c>
      <c r="C541" s="261">
        <f>1171-166</f>
        <v>1005</v>
      </c>
      <c r="D541" s="261">
        <f t="shared" si="25"/>
        <v>325</v>
      </c>
      <c r="E541" s="262">
        <v>680</v>
      </c>
    </row>
    <row r="542" spans="1:7" ht="20.25" customHeight="1">
      <c r="A542" s="264">
        <v>2160501</v>
      </c>
      <c r="B542" s="263" t="s">
        <v>372</v>
      </c>
      <c r="C542" s="261">
        <v>388</v>
      </c>
      <c r="D542" s="261">
        <f t="shared" si="25"/>
        <v>267</v>
      </c>
      <c r="E542" s="262">
        <f>572-451</f>
        <v>121</v>
      </c>
    </row>
    <row r="543" spans="1:7" ht="20.25" customHeight="1">
      <c r="A543" s="264">
        <v>2160504</v>
      </c>
      <c r="B543" s="263" t="s">
        <v>787</v>
      </c>
      <c r="C543" s="261">
        <v>166</v>
      </c>
      <c r="D543" s="261">
        <f t="shared" si="25"/>
        <v>58</v>
      </c>
      <c r="E543" s="262">
        <v>108</v>
      </c>
    </row>
    <row r="544" spans="1:7" ht="20.25" customHeight="1">
      <c r="A544" s="264">
        <v>2160599</v>
      </c>
      <c r="B544" s="263" t="s">
        <v>788</v>
      </c>
      <c r="C544" s="261">
        <f>617-166</f>
        <v>451</v>
      </c>
      <c r="D544" s="261">
        <f t="shared" si="25"/>
        <v>0</v>
      </c>
      <c r="E544" s="262">
        <v>451</v>
      </c>
    </row>
    <row r="545" spans="1:7" ht="20.25" customHeight="1">
      <c r="A545" s="264">
        <v>21606</v>
      </c>
      <c r="B545" s="260" t="s">
        <v>789</v>
      </c>
      <c r="C545" s="261">
        <v>11</v>
      </c>
      <c r="D545" s="261">
        <f t="shared" si="25"/>
        <v>0</v>
      </c>
      <c r="E545" s="262">
        <v>11</v>
      </c>
    </row>
    <row r="546" spans="1:7" ht="20.25" customHeight="1">
      <c r="A546" s="264">
        <v>2160699</v>
      </c>
      <c r="B546" s="263" t="s">
        <v>790</v>
      </c>
      <c r="C546" s="261">
        <v>11</v>
      </c>
      <c r="D546" s="261">
        <f t="shared" si="25"/>
        <v>0</v>
      </c>
      <c r="E546" s="262">
        <v>11</v>
      </c>
    </row>
    <row r="547" spans="1:7" ht="20.25" customHeight="1">
      <c r="A547" s="264">
        <v>217</v>
      </c>
      <c r="B547" s="260" t="s">
        <v>791</v>
      </c>
      <c r="C547" s="261">
        <v>160</v>
      </c>
      <c r="D547" s="261">
        <f t="shared" si="25"/>
        <v>160</v>
      </c>
      <c r="E547" s="262"/>
    </row>
    <row r="548" spans="1:7" ht="20.25" customHeight="1">
      <c r="A548" s="264">
        <v>21701</v>
      </c>
      <c r="B548" s="260" t="s">
        <v>792</v>
      </c>
      <c r="C548" s="261">
        <v>50</v>
      </c>
      <c r="D548" s="261">
        <f t="shared" si="25"/>
        <v>50</v>
      </c>
      <c r="E548" s="262"/>
    </row>
    <row r="549" spans="1:7" ht="20.25" customHeight="1">
      <c r="A549" s="264">
        <v>2170199</v>
      </c>
      <c r="B549" s="263" t="s">
        <v>793</v>
      </c>
      <c r="C549" s="261">
        <v>50</v>
      </c>
      <c r="D549" s="261">
        <f t="shared" si="25"/>
        <v>50</v>
      </c>
      <c r="E549" s="262"/>
    </row>
    <row r="550" spans="1:7" ht="20.25" customHeight="1">
      <c r="A550" s="264">
        <v>21799</v>
      </c>
      <c r="B550" s="260" t="s">
        <v>794</v>
      </c>
      <c r="C550" s="261">
        <v>110</v>
      </c>
      <c r="D550" s="261">
        <f t="shared" si="25"/>
        <v>110</v>
      </c>
      <c r="E550" s="262"/>
    </row>
    <row r="551" spans="1:7" ht="20.25" customHeight="1">
      <c r="A551" s="264">
        <v>2179901</v>
      </c>
      <c r="B551" s="263" t="s">
        <v>795</v>
      </c>
      <c r="C551" s="261">
        <v>110</v>
      </c>
      <c r="D551" s="261">
        <f t="shared" ref="D551:D581" si="26">+C551-E551</f>
        <v>110</v>
      </c>
      <c r="E551" s="262"/>
    </row>
    <row r="552" spans="1:7" ht="20.25" customHeight="1">
      <c r="A552" s="264">
        <v>220</v>
      </c>
      <c r="B552" s="260" t="s">
        <v>796</v>
      </c>
      <c r="C552" s="261">
        <f>3299-399</f>
        <v>2900</v>
      </c>
      <c r="D552" s="261">
        <f t="shared" si="26"/>
        <v>2132</v>
      </c>
      <c r="E552" s="262">
        <v>768</v>
      </c>
      <c r="G552" s="253">
        <f>3299-2900</f>
        <v>399</v>
      </c>
    </row>
    <row r="553" spans="1:7" ht="20.25" customHeight="1">
      <c r="A553" s="264">
        <v>22001</v>
      </c>
      <c r="B553" s="260" t="s">
        <v>797</v>
      </c>
      <c r="C553" s="261">
        <f>2200-399</f>
        <v>1801</v>
      </c>
      <c r="D553" s="261">
        <f t="shared" si="26"/>
        <v>1414</v>
      </c>
      <c r="E553" s="262">
        <v>387</v>
      </c>
    </row>
    <row r="554" spans="1:7" ht="20.25" customHeight="1">
      <c r="A554" s="264">
        <v>2200101</v>
      </c>
      <c r="B554" s="263" t="s">
        <v>372</v>
      </c>
      <c r="C554" s="261">
        <v>1108</v>
      </c>
      <c r="D554" s="261">
        <f t="shared" si="26"/>
        <v>1108</v>
      </c>
      <c r="E554" s="262"/>
    </row>
    <row r="555" spans="1:7" ht="20.25" customHeight="1">
      <c r="A555" s="264">
        <v>2200102</v>
      </c>
      <c r="B555" s="263" t="s">
        <v>373</v>
      </c>
      <c r="C555" s="261">
        <v>1</v>
      </c>
      <c r="D555" s="261">
        <f t="shared" si="26"/>
        <v>1</v>
      </c>
      <c r="E555" s="262"/>
    </row>
    <row r="556" spans="1:7" ht="20.25" customHeight="1">
      <c r="A556" s="264">
        <v>2200111</v>
      </c>
      <c r="B556" s="263" t="s">
        <v>798</v>
      </c>
      <c r="C556" s="261">
        <v>159</v>
      </c>
      <c r="D556" s="261">
        <f t="shared" si="26"/>
        <v>25</v>
      </c>
      <c r="E556" s="262">
        <v>134</v>
      </c>
    </row>
    <row r="557" spans="1:7" ht="20.25" customHeight="1">
      <c r="A557" s="264">
        <v>2200114</v>
      </c>
      <c r="B557" s="263" t="s">
        <v>799</v>
      </c>
      <c r="C557" s="261">
        <v>5</v>
      </c>
      <c r="D557" s="261">
        <f t="shared" si="26"/>
        <v>0</v>
      </c>
      <c r="E557" s="262">
        <v>5</v>
      </c>
    </row>
    <row r="558" spans="1:7" ht="20.25" customHeight="1">
      <c r="A558" s="264">
        <v>2200150</v>
      </c>
      <c r="B558" s="263" t="s">
        <v>384</v>
      </c>
      <c r="C558" s="261">
        <v>494</v>
      </c>
      <c r="D558" s="261">
        <f t="shared" si="26"/>
        <v>246</v>
      </c>
      <c r="E558" s="262">
        <v>248</v>
      </c>
    </row>
    <row r="559" spans="1:7" ht="20.25" customHeight="1">
      <c r="A559" s="264">
        <v>2200199</v>
      </c>
      <c r="B559" s="263" t="s">
        <v>800</v>
      </c>
      <c r="C559" s="261">
        <f>433-399</f>
        <v>34</v>
      </c>
      <c r="D559" s="261">
        <f t="shared" si="26"/>
        <v>34</v>
      </c>
      <c r="E559" s="262"/>
    </row>
    <row r="560" spans="1:7" ht="20.25" customHeight="1">
      <c r="A560" s="264">
        <v>22003</v>
      </c>
      <c r="B560" s="260" t="s">
        <v>801</v>
      </c>
      <c r="C560" s="261">
        <v>325</v>
      </c>
      <c r="D560" s="261">
        <f t="shared" si="26"/>
        <v>0</v>
      </c>
      <c r="E560" s="262">
        <v>325</v>
      </c>
    </row>
    <row r="561" spans="1:7" ht="20.25" customHeight="1">
      <c r="A561" s="264">
        <v>2200304</v>
      </c>
      <c r="B561" s="263" t="s">
        <v>802</v>
      </c>
      <c r="C561" s="261">
        <v>325</v>
      </c>
      <c r="D561" s="261">
        <f t="shared" si="26"/>
        <v>0</v>
      </c>
      <c r="E561" s="262">
        <v>325</v>
      </c>
    </row>
    <row r="562" spans="1:7" ht="20.25" customHeight="1">
      <c r="A562" s="264">
        <v>22004</v>
      </c>
      <c r="B562" s="260" t="s">
        <v>803</v>
      </c>
      <c r="C562" s="261">
        <v>183</v>
      </c>
      <c r="D562" s="261">
        <f t="shared" si="26"/>
        <v>127</v>
      </c>
      <c r="E562" s="262">
        <v>56</v>
      </c>
    </row>
    <row r="563" spans="1:7" ht="20.25" customHeight="1">
      <c r="A563" s="264">
        <v>2200401</v>
      </c>
      <c r="B563" s="263" t="s">
        <v>372</v>
      </c>
      <c r="C563" s="261">
        <v>89</v>
      </c>
      <c r="D563" s="261">
        <f t="shared" si="26"/>
        <v>89</v>
      </c>
      <c r="E563" s="262"/>
    </row>
    <row r="564" spans="1:7" ht="20.25" customHeight="1">
      <c r="A564" s="264">
        <v>2200402</v>
      </c>
      <c r="B564" s="263" t="s">
        <v>373</v>
      </c>
      <c r="C564" s="261">
        <v>38</v>
      </c>
      <c r="D564" s="261">
        <f t="shared" si="26"/>
        <v>38</v>
      </c>
      <c r="E564" s="262"/>
    </row>
    <row r="565" spans="1:7" ht="20.25" customHeight="1">
      <c r="A565" s="264">
        <v>2200404</v>
      </c>
      <c r="B565" s="263" t="s">
        <v>804</v>
      </c>
      <c r="C565" s="261">
        <v>56</v>
      </c>
      <c r="D565" s="261">
        <f t="shared" si="26"/>
        <v>0</v>
      </c>
      <c r="E565" s="262">
        <v>56</v>
      </c>
    </row>
    <row r="566" spans="1:7" ht="20.25" customHeight="1">
      <c r="A566" s="264">
        <v>22005</v>
      </c>
      <c r="B566" s="260" t="s">
        <v>805</v>
      </c>
      <c r="C566" s="261">
        <v>591</v>
      </c>
      <c r="D566" s="261">
        <f t="shared" si="26"/>
        <v>591</v>
      </c>
      <c r="E566" s="262"/>
    </row>
    <row r="567" spans="1:7" ht="20.25" customHeight="1">
      <c r="A567" s="264">
        <v>2200501</v>
      </c>
      <c r="B567" s="263" t="s">
        <v>372</v>
      </c>
      <c r="C567" s="261">
        <v>2</v>
      </c>
      <c r="D567" s="261">
        <f t="shared" si="26"/>
        <v>2</v>
      </c>
      <c r="E567" s="262"/>
    </row>
    <row r="568" spans="1:7" ht="20.25" customHeight="1">
      <c r="A568" s="264">
        <v>2200509</v>
      </c>
      <c r="B568" s="263" t="s">
        <v>806</v>
      </c>
      <c r="C568" s="261">
        <v>139</v>
      </c>
      <c r="D568" s="261">
        <f t="shared" si="26"/>
        <v>139</v>
      </c>
      <c r="E568" s="262"/>
    </row>
    <row r="569" spans="1:7" ht="20.25" customHeight="1">
      <c r="A569" s="264">
        <v>2200511</v>
      </c>
      <c r="B569" s="263" t="s">
        <v>807</v>
      </c>
      <c r="C569" s="261">
        <v>450</v>
      </c>
      <c r="D569" s="261">
        <f t="shared" si="26"/>
        <v>450</v>
      </c>
      <c r="E569" s="262"/>
    </row>
    <row r="570" spans="1:7" ht="20.25" customHeight="1">
      <c r="A570" s="264">
        <v>221</v>
      </c>
      <c r="B570" s="260" t="s">
        <v>808</v>
      </c>
      <c r="C570" s="261">
        <v>4600</v>
      </c>
      <c r="D570" s="261">
        <f t="shared" si="26"/>
        <v>3600</v>
      </c>
      <c r="E570" s="262">
        <v>1000</v>
      </c>
      <c r="G570" s="253">
        <f>+C570-4600</f>
        <v>0</v>
      </c>
    </row>
    <row r="571" spans="1:7" ht="20.25" customHeight="1">
      <c r="A571" s="264">
        <v>22101</v>
      </c>
      <c r="B571" s="260" t="s">
        <v>809</v>
      </c>
      <c r="C571" s="261">
        <v>1000</v>
      </c>
      <c r="D571" s="261">
        <f t="shared" si="26"/>
        <v>0</v>
      </c>
      <c r="E571" s="262">
        <v>1000</v>
      </c>
    </row>
    <row r="572" spans="1:7" ht="20.25" customHeight="1">
      <c r="A572" s="264">
        <v>2210103</v>
      </c>
      <c r="B572" s="263" t="s">
        <v>810</v>
      </c>
      <c r="C572" s="261">
        <v>943</v>
      </c>
      <c r="D572" s="261">
        <f t="shared" si="26"/>
        <v>0</v>
      </c>
      <c r="E572" s="262">
        <v>943</v>
      </c>
    </row>
    <row r="573" spans="1:7" ht="20.25" customHeight="1">
      <c r="A573" s="264">
        <v>2210106</v>
      </c>
      <c r="B573" s="263" t="s">
        <v>811</v>
      </c>
      <c r="C573" s="261">
        <v>44</v>
      </c>
      <c r="D573" s="261">
        <f t="shared" si="26"/>
        <v>0</v>
      </c>
      <c r="E573" s="262">
        <v>44</v>
      </c>
    </row>
    <row r="574" spans="1:7" ht="20.25" customHeight="1">
      <c r="A574" s="264">
        <v>2210199</v>
      </c>
      <c r="B574" s="263" t="s">
        <v>812</v>
      </c>
      <c r="C574" s="261">
        <v>13</v>
      </c>
      <c r="D574" s="261">
        <f t="shared" si="26"/>
        <v>0</v>
      </c>
      <c r="E574" s="262">
        <v>13</v>
      </c>
    </row>
    <row r="575" spans="1:7" ht="20.25" customHeight="1">
      <c r="A575" s="264">
        <v>22102</v>
      </c>
      <c r="B575" s="260" t="s">
        <v>813</v>
      </c>
      <c r="C575" s="261">
        <v>3600</v>
      </c>
      <c r="D575" s="261">
        <f t="shared" si="26"/>
        <v>3600</v>
      </c>
      <c r="E575" s="262"/>
    </row>
    <row r="576" spans="1:7" ht="20.25" customHeight="1">
      <c r="A576" s="264">
        <v>2210201</v>
      </c>
      <c r="B576" s="263" t="s">
        <v>814</v>
      </c>
      <c r="C576" s="261">
        <v>3600</v>
      </c>
      <c r="D576" s="261">
        <f t="shared" si="26"/>
        <v>3600</v>
      </c>
      <c r="E576" s="262"/>
    </row>
    <row r="577" spans="1:7" ht="20.25" customHeight="1">
      <c r="A577" s="264">
        <v>222</v>
      </c>
      <c r="B577" s="260" t="s">
        <v>815</v>
      </c>
      <c r="C577" s="261">
        <f>898-328</f>
        <v>570</v>
      </c>
      <c r="D577" s="261">
        <f t="shared" si="26"/>
        <v>540</v>
      </c>
      <c r="E577" s="262">
        <v>30</v>
      </c>
      <c r="G577" s="253">
        <f>898-570</f>
        <v>328</v>
      </c>
    </row>
    <row r="578" spans="1:7" ht="20.25" customHeight="1">
      <c r="A578" s="264">
        <v>22201</v>
      </c>
      <c r="B578" s="260" t="s">
        <v>816</v>
      </c>
      <c r="C578" s="261">
        <f>851-328</f>
        <v>523</v>
      </c>
      <c r="D578" s="261">
        <f t="shared" si="26"/>
        <v>508</v>
      </c>
      <c r="E578" s="262">
        <v>15</v>
      </c>
    </row>
    <row r="579" spans="1:7" ht="20.25" customHeight="1">
      <c r="A579" s="264">
        <v>2220101</v>
      </c>
      <c r="B579" s="263" t="s">
        <v>372</v>
      </c>
      <c r="C579" s="261">
        <f>497-28</f>
        <v>469</v>
      </c>
      <c r="D579" s="261">
        <f t="shared" si="26"/>
        <v>469</v>
      </c>
      <c r="E579" s="262"/>
    </row>
    <row r="580" spans="1:7" ht="20.25" customHeight="1">
      <c r="A580" s="264">
        <v>2220102</v>
      </c>
      <c r="B580" s="263" t="s">
        <v>373</v>
      </c>
      <c r="C580" s="261">
        <v>1</v>
      </c>
      <c r="D580" s="261">
        <f t="shared" si="26"/>
        <v>1</v>
      </c>
      <c r="E580" s="262"/>
    </row>
    <row r="581" spans="1:7" ht="20.25" customHeight="1">
      <c r="A581" s="264">
        <v>2220150</v>
      </c>
      <c r="B581" s="263" t="s">
        <v>384</v>
      </c>
      <c r="C581" s="261">
        <v>38</v>
      </c>
      <c r="D581" s="261">
        <f t="shared" si="26"/>
        <v>38</v>
      </c>
      <c r="E581" s="262"/>
    </row>
    <row r="582" spans="1:7" ht="20.25" customHeight="1">
      <c r="A582" s="264">
        <v>2220199</v>
      </c>
      <c r="B582" s="263" t="s">
        <v>817</v>
      </c>
      <c r="C582" s="261">
        <f>315-300</f>
        <v>15</v>
      </c>
      <c r="D582" s="261">
        <f t="shared" ref="D582:D586" si="27">+C582-E582</f>
        <v>0</v>
      </c>
      <c r="E582" s="262">
        <v>15</v>
      </c>
    </row>
    <row r="583" spans="1:7" ht="20.25" customHeight="1">
      <c r="A583" s="264">
        <v>22202</v>
      </c>
      <c r="B583" s="260" t="s">
        <v>818</v>
      </c>
      <c r="C583" s="261">
        <v>10</v>
      </c>
      <c r="D583" s="261">
        <f t="shared" si="27"/>
        <v>10</v>
      </c>
      <c r="E583" s="262"/>
    </row>
    <row r="584" spans="1:7" ht="20.25" customHeight="1">
      <c r="A584" s="264">
        <v>2220201</v>
      </c>
      <c r="B584" s="263" t="s">
        <v>372</v>
      </c>
      <c r="C584" s="261">
        <v>10</v>
      </c>
      <c r="D584" s="261">
        <f t="shared" si="27"/>
        <v>10</v>
      </c>
      <c r="E584" s="262"/>
    </row>
    <row r="585" spans="1:7" ht="20.25" customHeight="1">
      <c r="A585" s="264">
        <v>22205</v>
      </c>
      <c r="B585" s="260" t="s">
        <v>819</v>
      </c>
      <c r="C585" s="261">
        <v>37</v>
      </c>
      <c r="D585" s="261">
        <f t="shared" si="27"/>
        <v>22</v>
      </c>
      <c r="E585" s="262">
        <v>15</v>
      </c>
    </row>
    <row r="586" spans="1:7" ht="20.25" customHeight="1">
      <c r="A586" s="264">
        <v>2220503</v>
      </c>
      <c r="B586" s="263" t="s">
        <v>820</v>
      </c>
      <c r="C586" s="261">
        <v>37</v>
      </c>
      <c r="D586" s="261">
        <f t="shared" si="27"/>
        <v>22</v>
      </c>
      <c r="E586" s="262">
        <v>15</v>
      </c>
    </row>
    <row r="587" spans="1:7" ht="20.25" customHeight="1">
      <c r="A587" s="264">
        <v>227</v>
      </c>
      <c r="B587" s="260" t="s">
        <v>821</v>
      </c>
      <c r="C587" s="261">
        <v>6800</v>
      </c>
      <c r="D587" s="261"/>
      <c r="E587" s="262"/>
    </row>
    <row r="588" spans="1:7" ht="20.25" customHeight="1">
      <c r="A588" s="264">
        <v>229</v>
      </c>
      <c r="B588" s="260" t="s">
        <v>822</v>
      </c>
      <c r="C588" s="261"/>
      <c r="D588" s="261">
        <f t="shared" ref="D588" si="28">+C588-E588</f>
        <v>0</v>
      </c>
      <c r="E588" s="262"/>
    </row>
    <row r="589" spans="1:7" ht="20.25" customHeight="1">
      <c r="A589" s="264">
        <v>22999</v>
      </c>
      <c r="B589" s="260" t="s">
        <v>823</v>
      </c>
      <c r="C589" s="261"/>
      <c r="D589" s="261">
        <f t="shared" ref="D589:D595" si="29">+C589-E589</f>
        <v>0</v>
      </c>
      <c r="E589" s="262"/>
    </row>
    <row r="590" spans="1:7" ht="20.25" customHeight="1">
      <c r="A590" s="264">
        <v>2299901</v>
      </c>
      <c r="B590" s="263" t="s">
        <v>824</v>
      </c>
      <c r="C590" s="261"/>
      <c r="D590" s="261">
        <f t="shared" si="29"/>
        <v>0</v>
      </c>
      <c r="E590" s="262"/>
    </row>
    <row r="591" spans="1:7" ht="20.25" customHeight="1">
      <c r="A591" s="264">
        <v>232</v>
      </c>
      <c r="B591" s="260" t="s">
        <v>825</v>
      </c>
      <c r="C591" s="261">
        <v>16908</v>
      </c>
      <c r="D591" s="261">
        <f t="shared" si="29"/>
        <v>16908</v>
      </c>
      <c r="E591" s="262"/>
    </row>
    <row r="592" spans="1:7" ht="20.25" customHeight="1">
      <c r="A592" s="264">
        <v>23203</v>
      </c>
      <c r="B592" s="260" t="s">
        <v>826</v>
      </c>
      <c r="C592" s="261">
        <v>16908</v>
      </c>
      <c r="D592" s="261">
        <f t="shared" si="29"/>
        <v>16908</v>
      </c>
      <c r="E592" s="262"/>
    </row>
    <row r="593" spans="1:5" ht="20.25" customHeight="1">
      <c r="A593" s="263">
        <v>2320301</v>
      </c>
      <c r="B593" s="265" t="s">
        <v>827</v>
      </c>
      <c r="C593" s="261">
        <v>16908</v>
      </c>
      <c r="D593" s="261">
        <f t="shared" si="29"/>
        <v>16908</v>
      </c>
      <c r="E593" s="266"/>
    </row>
    <row r="594" spans="1:5" ht="20.25" customHeight="1">
      <c r="A594" s="264"/>
      <c r="B594" s="264"/>
      <c r="C594" s="262"/>
      <c r="D594" s="261">
        <f t="shared" si="29"/>
        <v>0</v>
      </c>
      <c r="E594" s="262"/>
    </row>
    <row r="595" spans="1:5" ht="20.25" customHeight="1">
      <c r="A595" s="264"/>
      <c r="B595" s="267" t="s">
        <v>828</v>
      </c>
      <c r="C595" s="262">
        <v>410859</v>
      </c>
      <c r="D595" s="261">
        <f t="shared" si="29"/>
        <v>313478</v>
      </c>
      <c r="E595" s="262">
        <v>97381</v>
      </c>
    </row>
    <row r="596" spans="1:5" ht="20.25" customHeight="1">
      <c r="A596" s="264"/>
      <c r="B596" s="260" t="s">
        <v>829</v>
      </c>
      <c r="C596" s="262">
        <f>+C597+C620+C621</f>
        <v>58507</v>
      </c>
      <c r="D596" s="261">
        <f t="shared" ref="D596" si="30">+C596-E596</f>
        <v>58507</v>
      </c>
      <c r="E596" s="262"/>
    </row>
    <row r="597" spans="1:5" ht="20.25" customHeight="1">
      <c r="A597" s="264"/>
      <c r="B597" s="260" t="s">
        <v>830</v>
      </c>
      <c r="C597" s="262">
        <f>+C598</f>
        <v>40287</v>
      </c>
      <c r="D597" s="261">
        <f t="shared" ref="D597:D621" si="31">+C597-E597</f>
        <v>40287</v>
      </c>
      <c r="E597" s="262"/>
    </row>
    <row r="598" spans="1:5" ht="20.25" customHeight="1">
      <c r="A598" s="264"/>
      <c r="B598" s="260" t="s">
        <v>831</v>
      </c>
      <c r="C598" s="262">
        <f>SUM(C599:C618)</f>
        <v>40287</v>
      </c>
      <c r="D598" s="261">
        <f t="shared" si="31"/>
        <v>40287</v>
      </c>
      <c r="E598" s="262"/>
    </row>
    <row r="599" spans="1:5" ht="20.25" customHeight="1">
      <c r="A599" s="264"/>
      <c r="B599" s="264" t="s">
        <v>832</v>
      </c>
      <c r="C599" s="262">
        <v>271</v>
      </c>
      <c r="D599" s="261">
        <f t="shared" si="31"/>
        <v>271</v>
      </c>
      <c r="E599" s="262"/>
    </row>
    <row r="600" spans="1:5" ht="20.25" customHeight="1">
      <c r="A600" s="264"/>
      <c r="B600" s="264" t="s">
        <v>833</v>
      </c>
      <c r="C600" s="262"/>
      <c r="D600" s="261">
        <f t="shared" si="31"/>
        <v>0</v>
      </c>
      <c r="E600" s="262"/>
    </row>
    <row r="601" spans="1:5" ht="20.25" customHeight="1">
      <c r="A601" s="264"/>
      <c r="B601" s="264" t="s">
        <v>834</v>
      </c>
      <c r="C601" s="262"/>
      <c r="D601" s="261">
        <f t="shared" si="31"/>
        <v>0</v>
      </c>
      <c r="E601" s="262"/>
    </row>
    <row r="602" spans="1:5" ht="20.25" customHeight="1">
      <c r="A602" s="264"/>
      <c r="B602" s="264" t="s">
        <v>835</v>
      </c>
      <c r="C602" s="262">
        <v>1205</v>
      </c>
      <c r="D602" s="261">
        <f t="shared" si="31"/>
        <v>1205</v>
      </c>
      <c r="E602" s="262"/>
    </row>
    <row r="603" spans="1:5" ht="20.25" customHeight="1">
      <c r="A603" s="264"/>
      <c r="B603" s="264" t="s">
        <v>836</v>
      </c>
      <c r="C603" s="262">
        <v>5241</v>
      </c>
      <c r="D603" s="261">
        <f t="shared" si="31"/>
        <v>5241</v>
      </c>
      <c r="E603" s="262"/>
    </row>
    <row r="604" spans="1:5" ht="20.25" customHeight="1">
      <c r="A604" s="264"/>
      <c r="B604" s="264" t="s">
        <v>837</v>
      </c>
      <c r="C604" s="262">
        <v>2041</v>
      </c>
      <c r="D604" s="261">
        <f t="shared" si="31"/>
        <v>2041</v>
      </c>
      <c r="E604" s="262"/>
    </row>
    <row r="605" spans="1:5" ht="20.25" customHeight="1">
      <c r="A605" s="264"/>
      <c r="B605" s="264" t="s">
        <v>838</v>
      </c>
      <c r="C605" s="262">
        <v>1515</v>
      </c>
      <c r="D605" s="261">
        <f t="shared" si="31"/>
        <v>1515</v>
      </c>
      <c r="E605" s="262"/>
    </row>
    <row r="606" spans="1:5" ht="20.25" customHeight="1">
      <c r="A606" s="264"/>
      <c r="B606" s="264" t="s">
        <v>839</v>
      </c>
      <c r="C606" s="262">
        <v>3591</v>
      </c>
      <c r="D606" s="261">
        <f t="shared" si="31"/>
        <v>3591</v>
      </c>
      <c r="E606" s="262"/>
    </row>
    <row r="607" spans="1:5" ht="20.25" customHeight="1">
      <c r="A607" s="264"/>
      <c r="B607" s="264" t="s">
        <v>840</v>
      </c>
      <c r="C607" s="262">
        <v>9198</v>
      </c>
      <c r="D607" s="261">
        <f t="shared" si="31"/>
        <v>9198</v>
      </c>
      <c r="E607" s="262"/>
    </row>
    <row r="608" spans="1:5" ht="20.25" customHeight="1">
      <c r="A608" s="264"/>
      <c r="B608" s="264" t="s">
        <v>841</v>
      </c>
      <c r="C608" s="262">
        <v>595</v>
      </c>
      <c r="D608" s="261">
        <f t="shared" si="31"/>
        <v>595</v>
      </c>
      <c r="E608" s="262"/>
    </row>
    <row r="609" spans="1:5" ht="20.25" customHeight="1">
      <c r="A609" s="264"/>
      <c r="B609" s="264" t="s">
        <v>842</v>
      </c>
      <c r="C609" s="262">
        <v>4203</v>
      </c>
      <c r="D609" s="261">
        <f t="shared" si="31"/>
        <v>4203</v>
      </c>
      <c r="E609" s="262"/>
    </row>
    <row r="610" spans="1:5" ht="20.25" customHeight="1">
      <c r="A610" s="264"/>
      <c r="B610" s="264" t="s">
        <v>843</v>
      </c>
      <c r="C610" s="262">
        <v>6635</v>
      </c>
      <c r="D610" s="261">
        <f t="shared" si="31"/>
        <v>6635</v>
      </c>
      <c r="E610" s="262"/>
    </row>
    <row r="611" spans="1:5" ht="20.25" customHeight="1">
      <c r="A611" s="264"/>
      <c r="B611" s="264" t="s">
        <v>844</v>
      </c>
      <c r="C611" s="262"/>
      <c r="D611" s="261">
        <f t="shared" si="31"/>
        <v>0</v>
      </c>
      <c r="E611" s="262"/>
    </row>
    <row r="612" spans="1:5" ht="20.25" customHeight="1">
      <c r="A612" s="264"/>
      <c r="B612" s="264" t="s">
        <v>845</v>
      </c>
      <c r="C612" s="262">
        <v>121</v>
      </c>
      <c r="D612" s="261">
        <f t="shared" si="31"/>
        <v>121</v>
      </c>
      <c r="E612" s="262"/>
    </row>
    <row r="613" spans="1:5" ht="20.25" customHeight="1">
      <c r="A613" s="264"/>
      <c r="B613" s="264" t="s">
        <v>846</v>
      </c>
      <c r="C613" s="262"/>
      <c r="D613" s="261">
        <f t="shared" si="31"/>
        <v>0</v>
      </c>
      <c r="E613" s="262"/>
    </row>
    <row r="614" spans="1:5" ht="20.25" customHeight="1">
      <c r="A614" s="264"/>
      <c r="B614" s="264" t="s">
        <v>847</v>
      </c>
      <c r="C614" s="262">
        <v>21</v>
      </c>
      <c r="D614" s="261">
        <f t="shared" si="31"/>
        <v>21</v>
      </c>
      <c r="E614" s="262"/>
    </row>
    <row r="615" spans="1:5" ht="20.25" customHeight="1">
      <c r="A615" s="264"/>
      <c r="B615" s="264" t="s">
        <v>848</v>
      </c>
      <c r="C615" s="262">
        <v>1902</v>
      </c>
      <c r="D615" s="261">
        <f t="shared" si="31"/>
        <v>1902</v>
      </c>
      <c r="E615" s="262"/>
    </row>
    <row r="616" spans="1:5" ht="20.25" customHeight="1">
      <c r="A616" s="264"/>
      <c r="B616" s="264" t="s">
        <v>849</v>
      </c>
      <c r="C616" s="262">
        <v>3735</v>
      </c>
      <c r="D616" s="261">
        <f t="shared" si="31"/>
        <v>3735</v>
      </c>
      <c r="E616" s="262"/>
    </row>
    <row r="617" spans="1:5" ht="20.25" customHeight="1">
      <c r="A617" s="264"/>
      <c r="B617" s="264" t="s">
        <v>850</v>
      </c>
      <c r="C617" s="262">
        <v>13</v>
      </c>
      <c r="D617" s="261">
        <f t="shared" si="31"/>
        <v>13</v>
      </c>
      <c r="E617" s="262"/>
    </row>
    <row r="618" spans="1:5" ht="20.25" customHeight="1">
      <c r="A618" s="264"/>
      <c r="B618" s="264" t="s">
        <v>851</v>
      </c>
      <c r="C618" s="262"/>
      <c r="D618" s="261">
        <f t="shared" si="31"/>
        <v>0</v>
      </c>
      <c r="E618" s="262"/>
    </row>
    <row r="619" spans="1:5" ht="20.25" customHeight="1">
      <c r="A619" s="264"/>
      <c r="B619" s="264"/>
      <c r="C619" s="262"/>
      <c r="D619" s="261">
        <f t="shared" si="31"/>
        <v>0</v>
      </c>
      <c r="E619" s="262"/>
    </row>
    <row r="620" spans="1:5" ht="20.25" customHeight="1">
      <c r="A620" s="264"/>
      <c r="B620" s="268" t="s">
        <v>349</v>
      </c>
      <c r="C620" s="262">
        <v>6220</v>
      </c>
      <c r="D620" s="261">
        <f t="shared" si="31"/>
        <v>6220</v>
      </c>
      <c r="E620" s="262"/>
    </row>
    <row r="621" spans="1:5" ht="20.25" customHeight="1">
      <c r="A621" s="264"/>
      <c r="B621" s="268" t="s">
        <v>350</v>
      </c>
      <c r="C621" s="262">
        <v>12000</v>
      </c>
      <c r="D621" s="261">
        <f t="shared" si="31"/>
        <v>12000</v>
      </c>
      <c r="E621" s="262"/>
    </row>
    <row r="622" spans="1:5" ht="20.25" customHeight="1">
      <c r="A622" s="264"/>
      <c r="B622" s="264"/>
      <c r="C622" s="262"/>
      <c r="D622" s="262"/>
      <c r="E622" s="262"/>
    </row>
    <row r="623" spans="1:5" ht="20.25" customHeight="1">
      <c r="A623" s="264"/>
      <c r="B623" s="267" t="s">
        <v>852</v>
      </c>
      <c r="C623" s="262">
        <f>+C595+C596</f>
        <v>469366</v>
      </c>
      <c r="D623" s="262">
        <f>+D595+D596</f>
        <v>371985</v>
      </c>
      <c r="E623" s="262">
        <f>+E595+E596</f>
        <v>97381</v>
      </c>
    </row>
  </sheetData>
  <mergeCells count="5">
    <mergeCell ref="B1:E1"/>
    <mergeCell ref="C3:E3"/>
    <mergeCell ref="D4:E4"/>
    <mergeCell ref="B3:B5"/>
    <mergeCell ref="C4:C5"/>
  </mergeCells>
  <phoneticPr fontId="2" type="noConversion"/>
  <pageMargins left="0.70763888888888904" right="0.70763888888888904" top="0.74791666666666701" bottom="0.74791666666666701" header="0.31388888888888899" footer="0.5"/>
  <pageSetup paperSize="9" firstPageNumber="11" orientation="portrait" useFirstPageNumber="1"/>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70"/>
  <sheetViews>
    <sheetView workbookViewId="0">
      <selection activeCell="B21" sqref="B21"/>
    </sheetView>
  </sheetViews>
  <sheetFormatPr defaultColWidth="9" defaultRowHeight="14.25"/>
  <cols>
    <col min="1" max="1" width="44.625" style="236" customWidth="1"/>
    <col min="2" max="2" width="31.5" style="236" customWidth="1"/>
    <col min="3" max="4" width="9" style="236" hidden="1" customWidth="1"/>
    <col min="5" max="5" width="10.375" style="236" hidden="1" customWidth="1"/>
    <col min="6" max="9" width="9" style="236" hidden="1" customWidth="1"/>
    <col min="10" max="16384" width="9" style="236"/>
  </cols>
  <sheetData>
    <row r="1" spans="1:6" ht="59.25" customHeight="1">
      <c r="A1" s="572" t="s">
        <v>36</v>
      </c>
      <c r="B1" s="572"/>
    </row>
    <row r="2" spans="1:6" ht="15">
      <c r="A2" s="237"/>
      <c r="B2" s="238" t="s">
        <v>853</v>
      </c>
    </row>
    <row r="3" spans="1:6" ht="26.25" customHeight="1">
      <c r="A3" s="239" t="s">
        <v>854</v>
      </c>
      <c r="B3" s="240" t="s">
        <v>339</v>
      </c>
    </row>
    <row r="4" spans="1:6" ht="26.25" customHeight="1">
      <c r="A4" s="241" t="s">
        <v>855</v>
      </c>
      <c r="B4" s="242">
        <f>SUM(B5:B8)</f>
        <v>121440</v>
      </c>
      <c r="D4" s="236">
        <v>121440</v>
      </c>
    </row>
    <row r="5" spans="1:6" ht="26.25" customHeight="1">
      <c r="A5" s="243" t="s">
        <v>856</v>
      </c>
      <c r="B5" s="242">
        <f>67829+1361</f>
        <v>69190</v>
      </c>
      <c r="D5" s="236">
        <v>69190</v>
      </c>
    </row>
    <row r="6" spans="1:6" ht="26.25" customHeight="1">
      <c r="A6" s="243" t="s">
        <v>857</v>
      </c>
      <c r="B6" s="244">
        <f>29840+300+5077+3607+518+897</f>
        <v>40239</v>
      </c>
      <c r="D6" s="236">
        <v>40239</v>
      </c>
    </row>
    <row r="7" spans="1:6" ht="26.25" customHeight="1">
      <c r="A7" s="243" t="s">
        <v>858</v>
      </c>
      <c r="B7" s="245">
        <f>7619+231</f>
        <v>7850</v>
      </c>
      <c r="D7" s="236">
        <v>7850</v>
      </c>
    </row>
    <row r="8" spans="1:6" ht="26.25" customHeight="1">
      <c r="A8" s="243" t="s">
        <v>859</v>
      </c>
      <c r="B8" s="242">
        <f>4115+46</f>
        <v>4161</v>
      </c>
      <c r="D8" s="236">
        <v>4161</v>
      </c>
    </row>
    <row r="9" spans="1:6" ht="26.25" customHeight="1">
      <c r="A9" s="246" t="s">
        <v>860</v>
      </c>
      <c r="B9" s="247">
        <f>SUM(B10:B15)</f>
        <v>19963</v>
      </c>
      <c r="D9" s="236">
        <v>19963</v>
      </c>
    </row>
    <row r="10" spans="1:6" ht="26.25" customHeight="1">
      <c r="A10" s="248" t="s">
        <v>861</v>
      </c>
      <c r="B10" s="244">
        <f>5887+284</f>
        <v>6171</v>
      </c>
      <c r="D10" s="236">
        <v>6171</v>
      </c>
    </row>
    <row r="11" spans="1:6" ht="26.25" customHeight="1">
      <c r="A11" s="248" t="s">
        <v>862</v>
      </c>
      <c r="B11" s="244">
        <v>600</v>
      </c>
    </row>
    <row r="12" spans="1:6" ht="26.25" customHeight="1">
      <c r="A12" s="248" t="s">
        <v>863</v>
      </c>
      <c r="B12" s="244">
        <f>2453+153</f>
        <v>2606</v>
      </c>
      <c r="D12" s="236">
        <f>2453+153</f>
        <v>2606</v>
      </c>
    </row>
    <row r="13" spans="1:6" ht="26.25" customHeight="1">
      <c r="A13" s="248" t="s">
        <v>864</v>
      </c>
      <c r="B13" s="244">
        <v>157</v>
      </c>
      <c r="D13" s="236">
        <f>2564+558</f>
        <v>3122</v>
      </c>
    </row>
    <row r="14" spans="1:6" ht="26.25" customHeight="1">
      <c r="A14" s="248" t="s">
        <v>865</v>
      </c>
      <c r="B14" s="244">
        <v>3122</v>
      </c>
      <c r="D14" s="236">
        <v>2686</v>
      </c>
      <c r="E14" s="236">
        <f>2564+558</f>
        <v>3122</v>
      </c>
    </row>
    <row r="15" spans="1:6" ht="26.25" customHeight="1">
      <c r="A15" s="248" t="s">
        <v>866</v>
      </c>
      <c r="B15" s="247">
        <v>7307</v>
      </c>
      <c r="D15" s="236">
        <v>11106</v>
      </c>
      <c r="E15" s="236">
        <f>+B9-D9</f>
        <v>0</v>
      </c>
      <c r="F15" s="236">
        <f>+D15-E15</f>
        <v>11106</v>
      </c>
    </row>
    <row r="16" spans="1:6" ht="26.25" customHeight="1">
      <c r="A16" s="249" t="s">
        <v>867</v>
      </c>
      <c r="B16" s="242">
        <f>SUM(B17:B19)</f>
        <v>10583</v>
      </c>
      <c r="D16" s="236">
        <v>10583</v>
      </c>
    </row>
    <row r="17" spans="1:4" ht="26.25" customHeight="1">
      <c r="A17" s="248" t="s">
        <v>868</v>
      </c>
      <c r="B17" s="242">
        <f>9801+782</f>
        <v>10583</v>
      </c>
      <c r="D17" s="236">
        <v>10583</v>
      </c>
    </row>
    <row r="18" spans="1:4" ht="26.25" customHeight="1">
      <c r="A18" s="248" t="s">
        <v>869</v>
      </c>
      <c r="B18" s="242"/>
    </row>
    <row r="19" spans="1:4" ht="26.25" customHeight="1">
      <c r="A19" s="248" t="s">
        <v>870</v>
      </c>
      <c r="B19" s="242"/>
    </row>
    <row r="20" spans="1:4" ht="26.25" customHeight="1">
      <c r="A20" s="246" t="s">
        <v>871</v>
      </c>
      <c r="B20" s="242">
        <f>SUM(B21:B23)</f>
        <v>5225</v>
      </c>
      <c r="D20" s="236">
        <v>5225</v>
      </c>
    </row>
    <row r="21" spans="1:4" ht="26.25" customHeight="1">
      <c r="A21" s="243" t="s">
        <v>872</v>
      </c>
      <c r="B21" s="250">
        <f>203+226+7</f>
        <v>436</v>
      </c>
      <c r="D21" s="236">
        <v>436</v>
      </c>
    </row>
    <row r="22" spans="1:4" ht="26.25" customHeight="1">
      <c r="A22" s="248" t="s">
        <v>873</v>
      </c>
      <c r="B22" s="242">
        <f>3266+6</f>
        <v>3272</v>
      </c>
      <c r="D22" s="236">
        <v>3272</v>
      </c>
    </row>
    <row r="23" spans="1:4" ht="26.25" customHeight="1">
      <c r="A23" s="248" t="s">
        <v>874</v>
      </c>
      <c r="B23" s="242">
        <f>1500+17</f>
        <v>1517</v>
      </c>
      <c r="D23" s="236">
        <v>1517</v>
      </c>
    </row>
    <row r="24" spans="1:4" ht="26.25" customHeight="1">
      <c r="A24" s="251" t="s">
        <v>875</v>
      </c>
      <c r="B24" s="242">
        <f>SUM(B20,B16,B9,B4)</f>
        <v>157211</v>
      </c>
      <c r="D24" s="236">
        <v>157211</v>
      </c>
    </row>
    <row r="25" spans="1:4" ht="29.1" customHeight="1">
      <c r="A25" s="544" t="s">
        <v>876</v>
      </c>
      <c r="B25" s="546"/>
      <c r="C25" s="546"/>
      <c r="D25" s="546"/>
    </row>
    <row r="26" spans="1:4" ht="19.5" customHeight="1"/>
    <row r="27" spans="1:4" ht="19.5" customHeight="1"/>
    <row r="28" spans="1:4" ht="19.5" customHeight="1"/>
    <row r="29" spans="1:4" ht="19.5" customHeight="1"/>
    <row r="30" spans="1:4" ht="19.5" customHeight="1"/>
    <row r="31" spans="1:4" ht="19.5" customHeight="1"/>
    <row r="32" spans="1:4"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sheetData>
  <mergeCells count="2">
    <mergeCell ref="A1:B1"/>
    <mergeCell ref="A25:D25"/>
  </mergeCells>
  <phoneticPr fontId="2" type="noConversion"/>
  <pageMargins left="0.70763888888888904" right="0.70763888888888904" top="0.74791666666666701" bottom="0.74791666666666701" header="0.31388888888888899" footer="0.55902777777777801"/>
  <pageSetup paperSize="9" firstPageNumber="29" orientation="portrait" useFirstPageNumber="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6"/>
  <sheetViews>
    <sheetView showGridLines="0" showZeros="0" workbookViewId="0">
      <pane xSplit="1" ySplit="3" topLeftCell="B4" activePane="bottomRight" state="frozen"/>
      <selection pane="topRight"/>
      <selection pane="bottomLeft"/>
      <selection pane="bottomRight" activeCell="P15" sqref="P15"/>
    </sheetView>
  </sheetViews>
  <sheetFormatPr defaultColWidth="9" defaultRowHeight="15.75"/>
  <cols>
    <col min="1" max="1" width="29.625" style="235" customWidth="1"/>
    <col min="2" max="2" width="11.125" style="513" customWidth="1"/>
    <col min="3" max="3" width="11.125" style="235" customWidth="1"/>
    <col min="4" max="4" width="10.75" style="235" customWidth="1"/>
    <col min="5" max="5" width="10.25" style="235" hidden="1" customWidth="1"/>
    <col min="6" max="6" width="11.5" style="235" customWidth="1"/>
    <col min="7" max="7" width="12.625" style="235"/>
    <col min="8" max="15" width="9" style="235" hidden="1" customWidth="1"/>
    <col min="16" max="18" width="9" style="235" customWidth="1"/>
    <col min="19" max="19" width="9" style="235"/>
    <col min="20" max="20" width="12.625" style="235" customWidth="1"/>
    <col min="21" max="21" width="30.875" style="235" customWidth="1"/>
    <col min="22" max="16384" width="9" style="235"/>
  </cols>
  <sheetData>
    <row r="1" spans="1:256" s="462" customFormat="1" ht="36" customHeight="1">
      <c r="A1" s="514" t="s">
        <v>2</v>
      </c>
      <c r="B1" s="515"/>
      <c r="C1" s="210"/>
      <c r="D1" s="210"/>
      <c r="E1" s="210"/>
      <c r="F1" s="210"/>
    </row>
    <row r="2" spans="1:256" customFormat="1" ht="26.25" customHeight="1">
      <c r="A2" s="194"/>
      <c r="B2" s="516"/>
      <c r="C2" s="194"/>
      <c r="D2" s="194"/>
      <c r="E2" s="194"/>
      <c r="F2" s="212" t="s">
        <v>81</v>
      </c>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c r="II2" s="235"/>
      <c r="IJ2" s="235"/>
      <c r="IK2" s="235"/>
      <c r="IL2" s="235"/>
      <c r="IM2" s="235"/>
      <c r="IN2" s="235"/>
      <c r="IO2" s="235"/>
      <c r="IP2" s="235"/>
      <c r="IQ2" s="235"/>
      <c r="IR2" s="235"/>
      <c r="IS2" s="235"/>
      <c r="IT2" s="235"/>
      <c r="IU2" s="235"/>
      <c r="IV2" s="235"/>
    </row>
    <row r="3" spans="1:256" customFormat="1" ht="29.25" customHeight="1">
      <c r="A3" s="338" t="s">
        <v>82</v>
      </c>
      <c r="B3" s="366" t="s">
        <v>83</v>
      </c>
      <c r="C3" s="497" t="s">
        <v>84</v>
      </c>
      <c r="D3" s="497" t="s">
        <v>85</v>
      </c>
      <c r="E3" s="445" t="s">
        <v>86</v>
      </c>
      <c r="F3" s="498" t="s">
        <v>87</v>
      </c>
      <c r="G3" s="235"/>
      <c r="H3" s="447" t="s">
        <v>88</v>
      </c>
      <c r="I3" s="447" t="s">
        <v>89</v>
      </c>
      <c r="J3" s="447" t="s">
        <v>90</v>
      </c>
      <c r="K3" s="447" t="s">
        <v>88</v>
      </c>
      <c r="L3" s="447" t="s">
        <v>91</v>
      </c>
      <c r="M3" s="447"/>
      <c r="N3" s="526" t="s">
        <v>82</v>
      </c>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5"/>
      <c r="CO3" s="235"/>
      <c r="CP3" s="235"/>
      <c r="CQ3" s="235"/>
      <c r="CR3" s="235"/>
      <c r="CS3" s="235"/>
      <c r="CT3" s="235"/>
      <c r="CU3" s="235"/>
      <c r="CV3" s="235"/>
      <c r="CW3" s="235"/>
      <c r="CX3" s="235"/>
      <c r="CY3" s="235"/>
      <c r="CZ3" s="235"/>
      <c r="DA3" s="235"/>
      <c r="DB3" s="235"/>
      <c r="DC3" s="235"/>
      <c r="DD3" s="235"/>
      <c r="DE3" s="235"/>
      <c r="DF3" s="235"/>
      <c r="DG3" s="235"/>
      <c r="DH3" s="235"/>
      <c r="DI3" s="235"/>
      <c r="DJ3" s="235"/>
      <c r="DK3" s="235"/>
      <c r="DL3" s="235"/>
      <c r="DM3" s="235"/>
      <c r="DN3" s="235"/>
      <c r="DO3" s="235"/>
      <c r="DP3" s="235"/>
      <c r="DQ3" s="235"/>
      <c r="DR3" s="235"/>
      <c r="DS3" s="235"/>
      <c r="DT3" s="235"/>
      <c r="DU3" s="235"/>
      <c r="DV3" s="235"/>
      <c r="DW3" s="235"/>
      <c r="DX3" s="235"/>
      <c r="DY3" s="235"/>
      <c r="DZ3" s="235"/>
      <c r="EA3" s="235"/>
      <c r="EB3" s="235"/>
      <c r="EC3" s="235"/>
      <c r="ED3" s="235"/>
      <c r="EE3" s="235"/>
      <c r="EF3" s="235"/>
      <c r="EG3" s="235"/>
      <c r="EH3" s="235"/>
      <c r="EI3" s="235"/>
      <c r="EJ3" s="235"/>
      <c r="EK3" s="235"/>
      <c r="EL3" s="235"/>
      <c r="EM3" s="235"/>
      <c r="EN3" s="235"/>
      <c r="EO3" s="235"/>
      <c r="EP3" s="235"/>
      <c r="EQ3" s="235"/>
      <c r="ER3" s="235"/>
      <c r="ES3" s="235"/>
      <c r="ET3" s="235"/>
      <c r="EU3" s="235"/>
      <c r="EV3" s="235"/>
      <c r="EW3" s="235"/>
      <c r="EX3" s="235"/>
      <c r="EY3" s="235"/>
      <c r="EZ3" s="235"/>
      <c r="FA3" s="235"/>
      <c r="FB3" s="235"/>
      <c r="FC3" s="235"/>
      <c r="FD3" s="235"/>
      <c r="FE3" s="235"/>
      <c r="FF3" s="235"/>
      <c r="FG3" s="235"/>
      <c r="FH3" s="235"/>
      <c r="FI3" s="235"/>
      <c r="FJ3" s="235"/>
      <c r="FK3" s="235"/>
      <c r="FL3" s="235"/>
      <c r="FM3" s="235"/>
      <c r="FN3" s="235"/>
      <c r="FO3" s="235"/>
      <c r="FP3" s="235"/>
      <c r="FQ3" s="235"/>
      <c r="FR3" s="235"/>
      <c r="FS3" s="235"/>
      <c r="FT3" s="235"/>
      <c r="FU3" s="235"/>
      <c r="FV3" s="235"/>
      <c r="FW3" s="235"/>
      <c r="FX3" s="235"/>
      <c r="FY3" s="235"/>
      <c r="FZ3" s="235"/>
      <c r="GA3" s="235"/>
      <c r="GB3" s="235"/>
      <c r="GC3" s="235"/>
      <c r="GD3" s="235"/>
      <c r="GE3" s="235"/>
      <c r="GF3" s="235"/>
      <c r="GG3" s="235"/>
      <c r="GH3" s="235"/>
      <c r="GI3" s="235"/>
      <c r="GJ3" s="235"/>
      <c r="GK3" s="235"/>
      <c r="GL3" s="235"/>
      <c r="GM3" s="235"/>
      <c r="GN3" s="235"/>
      <c r="GO3" s="235"/>
      <c r="GP3" s="235"/>
      <c r="GQ3" s="235"/>
      <c r="GR3" s="235"/>
      <c r="GS3" s="235"/>
      <c r="GT3" s="235"/>
      <c r="GU3" s="235"/>
      <c r="GV3" s="235"/>
      <c r="GW3" s="235"/>
      <c r="GX3" s="235"/>
      <c r="GY3" s="235"/>
      <c r="GZ3" s="235"/>
      <c r="HA3" s="235"/>
      <c r="HB3" s="235"/>
      <c r="HC3" s="235"/>
      <c r="HD3" s="235"/>
      <c r="HE3" s="235"/>
      <c r="HF3" s="235"/>
      <c r="HG3" s="235"/>
      <c r="HH3" s="235"/>
      <c r="HI3" s="235"/>
      <c r="HJ3" s="235"/>
      <c r="HK3" s="235"/>
      <c r="HL3" s="235"/>
      <c r="HM3" s="235"/>
      <c r="HN3" s="235"/>
      <c r="HO3" s="235"/>
      <c r="HP3" s="235"/>
      <c r="HQ3" s="235"/>
      <c r="HR3" s="235"/>
      <c r="HS3" s="235"/>
      <c r="HT3" s="235"/>
      <c r="HU3" s="235"/>
      <c r="HV3" s="235"/>
      <c r="HW3" s="235"/>
      <c r="HX3" s="235"/>
      <c r="HY3" s="235"/>
      <c r="HZ3" s="235"/>
      <c r="IA3" s="235"/>
      <c r="IB3" s="235"/>
      <c r="IC3" s="235"/>
      <c r="ID3" s="235"/>
      <c r="IE3" s="235"/>
      <c r="IF3" s="235"/>
      <c r="IG3" s="235"/>
      <c r="IH3" s="235"/>
      <c r="II3" s="235"/>
      <c r="IJ3" s="235"/>
      <c r="IK3" s="235"/>
      <c r="IL3" s="235"/>
      <c r="IM3" s="235"/>
      <c r="IN3" s="235"/>
      <c r="IO3" s="235"/>
      <c r="IP3" s="235"/>
      <c r="IQ3" s="235"/>
      <c r="IR3" s="235"/>
      <c r="IS3" s="235"/>
      <c r="IT3" s="235"/>
      <c r="IU3" s="235"/>
      <c r="IV3" s="235"/>
    </row>
    <row r="4" spans="1:256" customFormat="1" ht="14.45" customHeight="1">
      <c r="A4" s="346" t="s">
        <v>92</v>
      </c>
      <c r="B4" s="388">
        <f>SUM(B5:B19)</f>
        <v>479068</v>
      </c>
      <c r="C4" s="338">
        <f>SUM(C5:C19)</f>
        <v>484913</v>
      </c>
      <c r="D4" s="499">
        <f t="shared" ref="D4:D5" si="0">C4/B4*100</f>
        <v>101.2200773167901</v>
      </c>
      <c r="E4" s="338">
        <f>SUM(E5:E19)</f>
        <v>428388</v>
      </c>
      <c r="F4" s="500">
        <f t="shared" ref="F4:F7" si="1">+(C4-E4)/E4*100</f>
        <v>13.194814047078818</v>
      </c>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5"/>
      <c r="CO4" s="235"/>
      <c r="CP4" s="235"/>
      <c r="CQ4" s="235"/>
      <c r="CR4" s="235"/>
      <c r="CS4" s="235"/>
      <c r="CT4" s="235"/>
      <c r="CU4" s="235"/>
      <c r="CV4" s="235"/>
      <c r="CW4" s="235"/>
      <c r="CX4" s="235"/>
      <c r="CY4" s="235"/>
      <c r="CZ4" s="235"/>
      <c r="DA4" s="235"/>
      <c r="DB4" s="235"/>
      <c r="DC4" s="235"/>
      <c r="DD4" s="235"/>
      <c r="DE4" s="235"/>
      <c r="DF4" s="235"/>
      <c r="DG4" s="235"/>
      <c r="DH4" s="235"/>
      <c r="DI4" s="235"/>
      <c r="DJ4" s="235"/>
      <c r="DK4" s="235"/>
      <c r="DL4" s="235"/>
      <c r="DM4" s="235"/>
      <c r="DN4" s="235"/>
      <c r="DO4" s="235"/>
      <c r="DP4" s="235"/>
      <c r="DQ4" s="235"/>
      <c r="DR4" s="235"/>
      <c r="DS4" s="235"/>
      <c r="DT4" s="235"/>
      <c r="DU4" s="235"/>
      <c r="DV4" s="235"/>
      <c r="DW4" s="235"/>
      <c r="DX4" s="235"/>
      <c r="DY4" s="235"/>
      <c r="DZ4" s="235"/>
      <c r="EA4" s="235"/>
      <c r="EB4" s="235"/>
      <c r="EC4" s="235"/>
      <c r="ED4" s="235"/>
      <c r="EE4" s="235"/>
      <c r="EF4" s="235"/>
      <c r="EG4" s="235"/>
      <c r="EH4" s="235"/>
      <c r="EI4" s="235"/>
      <c r="EJ4" s="235"/>
      <c r="EK4" s="235"/>
      <c r="EL4" s="235"/>
      <c r="EM4" s="235"/>
      <c r="EN4" s="235"/>
      <c r="EO4" s="235"/>
      <c r="EP4" s="235"/>
      <c r="EQ4" s="235"/>
      <c r="ER4" s="235"/>
      <c r="ES4" s="235"/>
      <c r="ET4" s="235"/>
      <c r="EU4" s="235"/>
      <c r="EV4" s="235"/>
      <c r="EW4" s="235"/>
      <c r="EX4" s="235"/>
      <c r="EY4" s="235"/>
      <c r="EZ4" s="235"/>
      <c r="FA4" s="235"/>
      <c r="FB4" s="235"/>
      <c r="FC4" s="235"/>
      <c r="FD4" s="235"/>
      <c r="FE4" s="235"/>
      <c r="FF4" s="235"/>
      <c r="FG4" s="235"/>
      <c r="FH4" s="235"/>
      <c r="FI4" s="235"/>
      <c r="FJ4" s="235"/>
      <c r="FK4" s="235"/>
      <c r="FL4" s="235"/>
      <c r="FM4" s="235"/>
      <c r="FN4" s="235"/>
      <c r="FO4" s="235"/>
      <c r="FP4" s="235"/>
      <c r="FQ4" s="235"/>
      <c r="FR4" s="235"/>
      <c r="FS4" s="235"/>
      <c r="FT4" s="235"/>
      <c r="FU4" s="235"/>
      <c r="FV4" s="235"/>
      <c r="FW4" s="235"/>
      <c r="FX4" s="235"/>
      <c r="FY4" s="235"/>
      <c r="FZ4" s="235"/>
      <c r="GA4" s="235"/>
      <c r="GB4" s="235"/>
      <c r="GC4" s="235"/>
      <c r="GD4" s="235"/>
      <c r="GE4" s="235"/>
      <c r="GF4" s="235"/>
      <c r="GG4" s="235"/>
      <c r="GH4" s="235"/>
      <c r="GI4" s="235"/>
      <c r="GJ4" s="235"/>
      <c r="GK4" s="235"/>
      <c r="GL4" s="235"/>
      <c r="GM4" s="235"/>
      <c r="GN4" s="235"/>
      <c r="GO4" s="235"/>
      <c r="GP4" s="235"/>
      <c r="GQ4" s="235"/>
      <c r="GR4" s="235"/>
      <c r="GS4" s="235"/>
      <c r="GT4" s="235"/>
      <c r="GU4" s="235"/>
      <c r="GV4" s="235"/>
      <c r="GW4" s="235"/>
      <c r="GX4" s="235"/>
      <c r="GY4" s="235"/>
      <c r="GZ4" s="235"/>
      <c r="HA4" s="235"/>
      <c r="HB4" s="235"/>
      <c r="HC4" s="235"/>
      <c r="HD4" s="235"/>
      <c r="HE4" s="235"/>
      <c r="HF4" s="235"/>
      <c r="HG4" s="235"/>
      <c r="HH4" s="235"/>
      <c r="HI4" s="235"/>
      <c r="HJ4" s="235"/>
      <c r="HK4" s="235"/>
      <c r="HL4" s="235"/>
      <c r="HM4" s="235"/>
      <c r="HN4" s="235"/>
      <c r="HO4" s="235"/>
      <c r="HP4" s="235"/>
      <c r="HQ4" s="235"/>
      <c r="HR4" s="235"/>
      <c r="HS4" s="235"/>
      <c r="HT4" s="235"/>
      <c r="HU4" s="235"/>
      <c r="HV4" s="235"/>
      <c r="HW4" s="235"/>
      <c r="HX4" s="235"/>
      <c r="HY4" s="235"/>
      <c r="HZ4" s="235"/>
      <c r="IA4" s="235"/>
      <c r="IB4" s="235"/>
      <c r="IC4" s="235"/>
      <c r="ID4" s="235"/>
      <c r="IE4" s="235"/>
      <c r="IF4" s="235"/>
      <c r="IG4" s="235"/>
      <c r="IH4" s="235"/>
      <c r="II4" s="235"/>
      <c r="IJ4" s="235"/>
      <c r="IK4" s="235"/>
      <c r="IL4" s="235"/>
      <c r="IM4" s="235"/>
      <c r="IN4" s="235"/>
      <c r="IO4" s="235"/>
      <c r="IP4" s="235"/>
      <c r="IQ4" s="235"/>
      <c r="IR4" s="235"/>
      <c r="IS4" s="235"/>
      <c r="IT4" s="235"/>
      <c r="IU4" s="235"/>
      <c r="IV4" s="235"/>
    </row>
    <row r="5" spans="1:256" customFormat="1" ht="14.45" customHeight="1">
      <c r="A5" s="346" t="s">
        <v>93</v>
      </c>
      <c r="B5" s="517">
        <v>178629</v>
      </c>
      <c r="C5" s="338">
        <v>181740</v>
      </c>
      <c r="D5" s="499">
        <f t="shared" si="0"/>
        <v>101.74159850864082</v>
      </c>
      <c r="E5" s="338">
        <v>161536</v>
      </c>
      <c r="F5" s="500">
        <f t="shared" si="1"/>
        <v>12.507428684627575</v>
      </c>
      <c r="G5" s="235"/>
      <c r="H5" s="456"/>
      <c r="I5" s="338"/>
      <c r="J5" s="342"/>
      <c r="K5" s="338"/>
      <c r="L5" s="338"/>
      <c r="M5" s="342"/>
      <c r="N5" s="527"/>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5"/>
      <c r="CO5" s="235"/>
      <c r="CP5" s="235"/>
      <c r="CQ5" s="235"/>
      <c r="CR5" s="235"/>
      <c r="CS5" s="235"/>
      <c r="CT5" s="235"/>
      <c r="CU5" s="235"/>
      <c r="CV5" s="235"/>
      <c r="CW5" s="235"/>
      <c r="CX5" s="235"/>
      <c r="CY5" s="235"/>
      <c r="CZ5" s="235"/>
      <c r="DA5" s="235"/>
      <c r="DB5" s="235"/>
      <c r="DC5" s="235"/>
      <c r="DD5" s="235"/>
      <c r="DE5" s="235"/>
      <c r="DF5" s="235"/>
      <c r="DG5" s="235"/>
      <c r="DH5" s="235"/>
      <c r="DI5" s="235"/>
      <c r="DJ5" s="235"/>
      <c r="DK5" s="235"/>
      <c r="DL5" s="235"/>
      <c r="DM5" s="235"/>
      <c r="DN5" s="235"/>
      <c r="DO5" s="235"/>
      <c r="DP5" s="235"/>
      <c r="DQ5" s="235"/>
      <c r="DR5" s="235"/>
      <c r="DS5" s="235"/>
      <c r="DT5" s="235"/>
      <c r="DU5" s="235"/>
      <c r="DV5" s="235"/>
      <c r="DW5" s="235"/>
      <c r="DX5" s="235"/>
      <c r="DY5" s="235"/>
      <c r="DZ5" s="235"/>
      <c r="EA5" s="235"/>
      <c r="EB5" s="235"/>
      <c r="EC5" s="235"/>
      <c r="ED5" s="235"/>
      <c r="EE5" s="235"/>
      <c r="EF5" s="235"/>
      <c r="EG5" s="235"/>
      <c r="EH5" s="235"/>
      <c r="EI5" s="235"/>
      <c r="EJ5" s="235"/>
      <c r="EK5" s="235"/>
      <c r="EL5" s="235"/>
      <c r="EM5" s="235"/>
      <c r="EN5" s="235"/>
      <c r="EO5" s="235"/>
      <c r="EP5" s="235"/>
      <c r="EQ5" s="235"/>
      <c r="ER5" s="235"/>
      <c r="ES5" s="235"/>
      <c r="ET5" s="235"/>
      <c r="EU5" s="235"/>
      <c r="EV5" s="235"/>
      <c r="EW5" s="235"/>
      <c r="EX5" s="235"/>
      <c r="EY5" s="235"/>
      <c r="EZ5" s="235"/>
      <c r="FA5" s="235"/>
      <c r="FB5" s="235"/>
      <c r="FC5" s="235"/>
      <c r="FD5" s="235"/>
      <c r="FE5" s="235"/>
      <c r="FF5" s="235"/>
      <c r="FG5" s="235"/>
      <c r="FH5" s="235"/>
      <c r="FI5" s="235"/>
      <c r="FJ5" s="235"/>
      <c r="FK5" s="235"/>
      <c r="FL5" s="235"/>
      <c r="FM5" s="235"/>
      <c r="FN5" s="235"/>
      <c r="FO5" s="235"/>
      <c r="FP5" s="235"/>
      <c r="FQ5" s="235"/>
      <c r="FR5" s="235"/>
      <c r="FS5" s="235"/>
      <c r="FT5" s="235"/>
      <c r="FU5" s="235"/>
      <c r="FV5" s="235"/>
      <c r="FW5" s="235"/>
      <c r="FX5" s="235"/>
      <c r="FY5" s="235"/>
      <c r="FZ5" s="235"/>
      <c r="GA5" s="235"/>
      <c r="GB5" s="235"/>
      <c r="GC5" s="235"/>
      <c r="GD5" s="235"/>
      <c r="GE5" s="235"/>
      <c r="GF5" s="235"/>
      <c r="GG5" s="235"/>
      <c r="GH5" s="235"/>
      <c r="GI5" s="235"/>
      <c r="GJ5" s="235"/>
      <c r="GK5" s="235"/>
      <c r="GL5" s="235"/>
      <c r="GM5" s="235"/>
      <c r="GN5" s="235"/>
      <c r="GO5" s="235"/>
      <c r="GP5" s="235"/>
      <c r="GQ5" s="235"/>
      <c r="GR5" s="235"/>
      <c r="GS5" s="235"/>
      <c r="GT5" s="235"/>
      <c r="GU5" s="235"/>
      <c r="GV5" s="235"/>
      <c r="GW5" s="235"/>
      <c r="GX5" s="235"/>
      <c r="GY5" s="235"/>
      <c r="GZ5" s="235"/>
      <c r="HA5" s="235"/>
      <c r="HB5" s="235"/>
      <c r="HC5" s="235"/>
      <c r="HD5" s="235"/>
      <c r="HE5" s="235"/>
      <c r="HF5" s="235"/>
      <c r="HG5" s="235"/>
      <c r="HH5" s="235"/>
      <c r="HI5" s="235"/>
      <c r="HJ5" s="235"/>
      <c r="HK5" s="235"/>
      <c r="HL5" s="235"/>
      <c r="HM5" s="235"/>
      <c r="HN5" s="235"/>
      <c r="HO5" s="235"/>
      <c r="HP5" s="235"/>
      <c r="HQ5" s="235"/>
      <c r="HR5" s="235"/>
      <c r="HS5" s="235"/>
      <c r="HT5" s="235"/>
      <c r="HU5" s="235"/>
      <c r="HV5" s="235"/>
      <c r="HW5" s="235"/>
      <c r="HX5" s="235"/>
      <c r="HY5" s="235"/>
      <c r="HZ5" s="235"/>
      <c r="IA5" s="235"/>
      <c r="IB5" s="235"/>
      <c r="IC5" s="235"/>
      <c r="ID5" s="235"/>
      <c r="IE5" s="235"/>
      <c r="IF5" s="235"/>
      <c r="IG5" s="235"/>
      <c r="IH5" s="235"/>
      <c r="II5" s="235"/>
      <c r="IJ5" s="235"/>
      <c r="IK5" s="235"/>
      <c r="IL5" s="235"/>
      <c r="IM5" s="235"/>
      <c r="IN5" s="235"/>
      <c r="IO5" s="235"/>
      <c r="IP5" s="235"/>
      <c r="IQ5" s="235"/>
      <c r="IR5" s="235"/>
      <c r="IS5" s="235"/>
      <c r="IT5" s="235"/>
      <c r="IU5" s="235"/>
      <c r="IV5" s="235"/>
    </row>
    <row r="6" spans="1:256" customFormat="1" ht="14.45" customHeight="1">
      <c r="A6" s="346" t="s">
        <v>94</v>
      </c>
      <c r="B6" s="517">
        <v>0</v>
      </c>
      <c r="C6" s="338">
        <v>2044</v>
      </c>
      <c r="D6" s="499"/>
      <c r="E6" s="338">
        <v>1661</v>
      </c>
      <c r="F6" s="500">
        <f t="shared" si="1"/>
        <v>23.058398555087297</v>
      </c>
      <c r="G6" s="235"/>
      <c r="H6" s="456"/>
      <c r="I6" s="338"/>
      <c r="J6" s="342"/>
      <c r="K6" s="338"/>
      <c r="L6" s="338"/>
      <c r="M6" s="342"/>
      <c r="N6" s="527"/>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235"/>
      <c r="DI6" s="235"/>
      <c r="DJ6" s="235"/>
      <c r="DK6" s="235"/>
      <c r="DL6" s="235"/>
      <c r="DM6" s="235"/>
      <c r="DN6" s="235"/>
      <c r="DO6" s="235"/>
      <c r="DP6" s="235"/>
      <c r="DQ6" s="235"/>
      <c r="DR6" s="235"/>
      <c r="DS6" s="235"/>
      <c r="DT6" s="235"/>
      <c r="DU6" s="235"/>
      <c r="DV6" s="235"/>
      <c r="DW6" s="235"/>
      <c r="DX6" s="235"/>
      <c r="DY6" s="235"/>
      <c r="DZ6" s="235"/>
      <c r="EA6" s="235"/>
      <c r="EB6" s="235"/>
      <c r="EC6" s="235"/>
      <c r="ED6" s="235"/>
      <c r="EE6" s="235"/>
      <c r="EF6" s="235"/>
      <c r="EG6" s="235"/>
      <c r="EH6" s="235"/>
      <c r="EI6" s="235"/>
      <c r="EJ6" s="235"/>
      <c r="EK6" s="235"/>
      <c r="EL6" s="235"/>
      <c r="EM6" s="235"/>
      <c r="EN6" s="235"/>
      <c r="EO6" s="235"/>
      <c r="EP6" s="235"/>
      <c r="EQ6" s="235"/>
      <c r="ER6" s="235"/>
      <c r="ES6" s="235"/>
      <c r="ET6" s="235"/>
      <c r="EU6" s="235"/>
      <c r="EV6" s="235"/>
      <c r="EW6" s="235"/>
      <c r="EX6" s="235"/>
      <c r="EY6" s="235"/>
      <c r="EZ6" s="235"/>
      <c r="FA6" s="235"/>
      <c r="FB6" s="235"/>
      <c r="FC6" s="235"/>
      <c r="FD6" s="235"/>
      <c r="FE6" s="235"/>
      <c r="FF6" s="235"/>
      <c r="FG6" s="235"/>
      <c r="FH6" s="235"/>
      <c r="FI6" s="235"/>
      <c r="FJ6" s="235"/>
      <c r="FK6" s="235"/>
      <c r="FL6" s="235"/>
      <c r="FM6" s="235"/>
      <c r="FN6" s="235"/>
      <c r="FO6" s="235"/>
      <c r="FP6" s="235"/>
      <c r="FQ6" s="235"/>
      <c r="FR6" s="235"/>
      <c r="FS6" s="235"/>
      <c r="FT6" s="235"/>
      <c r="FU6" s="235"/>
      <c r="FV6" s="235"/>
      <c r="FW6" s="235"/>
      <c r="FX6" s="235"/>
      <c r="FY6" s="235"/>
      <c r="FZ6" s="235"/>
      <c r="GA6" s="235"/>
      <c r="GB6" s="235"/>
      <c r="GC6" s="235"/>
      <c r="GD6" s="235"/>
      <c r="GE6" s="235"/>
      <c r="GF6" s="235"/>
      <c r="GG6" s="235"/>
      <c r="GH6" s="235"/>
      <c r="GI6" s="235"/>
      <c r="GJ6" s="235"/>
      <c r="GK6" s="235"/>
      <c r="GL6" s="235"/>
      <c r="GM6" s="235"/>
      <c r="GN6" s="235"/>
      <c r="GO6" s="235"/>
      <c r="GP6" s="235"/>
      <c r="GQ6" s="235"/>
      <c r="GR6" s="235"/>
      <c r="GS6" s="235"/>
      <c r="GT6" s="235"/>
      <c r="GU6" s="235"/>
      <c r="GV6" s="235"/>
      <c r="GW6" s="235"/>
      <c r="GX6" s="235"/>
      <c r="GY6" s="235"/>
      <c r="GZ6" s="235"/>
      <c r="HA6" s="235"/>
      <c r="HB6" s="235"/>
      <c r="HC6" s="235"/>
      <c r="HD6" s="235"/>
      <c r="HE6" s="235"/>
      <c r="HF6" s="235"/>
      <c r="HG6" s="235"/>
      <c r="HH6" s="235"/>
      <c r="HI6" s="235"/>
      <c r="HJ6" s="235"/>
      <c r="HK6" s="235"/>
      <c r="HL6" s="235"/>
      <c r="HM6" s="235"/>
      <c r="HN6" s="235"/>
      <c r="HO6" s="235"/>
      <c r="HP6" s="235"/>
      <c r="HQ6" s="235"/>
      <c r="HR6" s="235"/>
      <c r="HS6" s="235"/>
      <c r="HT6" s="235"/>
      <c r="HU6" s="235"/>
      <c r="HV6" s="235"/>
      <c r="HW6" s="235"/>
      <c r="HX6" s="235"/>
      <c r="HY6" s="235"/>
      <c r="HZ6" s="235"/>
      <c r="IA6" s="235"/>
      <c r="IB6" s="235"/>
      <c r="IC6" s="235"/>
      <c r="ID6" s="235"/>
      <c r="IE6" s="235"/>
      <c r="IF6" s="235"/>
      <c r="IG6" s="235"/>
      <c r="IH6" s="235"/>
      <c r="II6" s="235"/>
      <c r="IJ6" s="235"/>
      <c r="IK6" s="235"/>
      <c r="IL6" s="235"/>
      <c r="IM6" s="235"/>
      <c r="IN6" s="235"/>
      <c r="IO6" s="235"/>
      <c r="IP6" s="235"/>
      <c r="IQ6" s="235"/>
      <c r="IR6" s="235"/>
      <c r="IS6" s="235"/>
      <c r="IT6" s="235"/>
      <c r="IU6" s="235"/>
      <c r="IV6" s="235"/>
    </row>
    <row r="7" spans="1:256" customFormat="1" ht="14.45" customHeight="1">
      <c r="A7" s="346" t="s">
        <v>95</v>
      </c>
      <c r="B7" s="517">
        <v>41848</v>
      </c>
      <c r="C7" s="338">
        <v>44295</v>
      </c>
      <c r="D7" s="499">
        <f>C7/B7*100</f>
        <v>105.84735232269165</v>
      </c>
      <c r="E7" s="338">
        <v>33800</v>
      </c>
      <c r="F7" s="500">
        <f t="shared" si="1"/>
        <v>31.050295857988164</v>
      </c>
      <c r="G7" s="235"/>
      <c r="H7" s="456"/>
      <c r="I7" s="338"/>
      <c r="J7" s="342"/>
      <c r="K7" s="338"/>
      <c r="L7" s="338"/>
      <c r="M7" s="342"/>
      <c r="N7" s="527"/>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c r="BM7" s="235"/>
      <c r="BN7" s="235"/>
      <c r="BO7" s="235"/>
      <c r="BP7" s="235"/>
      <c r="BQ7" s="235"/>
      <c r="BR7" s="235"/>
      <c r="BS7" s="235"/>
      <c r="BT7" s="235"/>
      <c r="BU7" s="235"/>
      <c r="BV7" s="235"/>
      <c r="BW7" s="235"/>
      <c r="BX7" s="235"/>
      <c r="BY7" s="235"/>
      <c r="BZ7" s="235"/>
      <c r="CA7" s="235"/>
      <c r="CB7" s="235"/>
      <c r="CC7" s="235"/>
      <c r="CD7" s="235"/>
      <c r="CE7" s="235"/>
      <c r="CF7" s="235"/>
      <c r="CG7" s="235"/>
      <c r="CH7" s="235"/>
      <c r="CI7" s="235"/>
      <c r="CJ7" s="235"/>
      <c r="CK7" s="235"/>
      <c r="CL7" s="235"/>
      <c r="CM7" s="235"/>
      <c r="CN7" s="235"/>
      <c r="CO7" s="235"/>
      <c r="CP7" s="235"/>
      <c r="CQ7" s="235"/>
      <c r="CR7" s="235"/>
      <c r="CS7" s="235"/>
      <c r="CT7" s="235"/>
      <c r="CU7" s="235"/>
      <c r="CV7" s="235"/>
      <c r="CW7" s="235"/>
      <c r="CX7" s="235"/>
      <c r="CY7" s="235"/>
      <c r="CZ7" s="235"/>
      <c r="DA7" s="235"/>
      <c r="DB7" s="235"/>
      <c r="DC7" s="235"/>
      <c r="DD7" s="235"/>
      <c r="DE7" s="235"/>
      <c r="DF7" s="235"/>
      <c r="DG7" s="235"/>
      <c r="DH7" s="235"/>
      <c r="DI7" s="235"/>
      <c r="DJ7" s="235"/>
      <c r="DK7" s="235"/>
      <c r="DL7" s="235"/>
      <c r="DM7" s="235"/>
      <c r="DN7" s="235"/>
      <c r="DO7" s="235"/>
      <c r="DP7" s="235"/>
      <c r="DQ7" s="235"/>
      <c r="DR7" s="235"/>
      <c r="DS7" s="235"/>
      <c r="DT7" s="235"/>
      <c r="DU7" s="235"/>
      <c r="DV7" s="235"/>
      <c r="DW7" s="235"/>
      <c r="DX7" s="235"/>
      <c r="DY7" s="235"/>
      <c r="DZ7" s="235"/>
      <c r="EA7" s="235"/>
      <c r="EB7" s="235"/>
      <c r="EC7" s="235"/>
      <c r="ED7" s="235"/>
      <c r="EE7" s="235"/>
      <c r="EF7" s="235"/>
      <c r="EG7" s="235"/>
      <c r="EH7" s="235"/>
      <c r="EI7" s="235"/>
      <c r="EJ7" s="235"/>
      <c r="EK7" s="235"/>
      <c r="EL7" s="235"/>
      <c r="EM7" s="235"/>
      <c r="EN7" s="235"/>
      <c r="EO7" s="235"/>
      <c r="EP7" s="235"/>
      <c r="EQ7" s="235"/>
      <c r="ER7" s="235"/>
      <c r="ES7" s="235"/>
      <c r="ET7" s="235"/>
      <c r="EU7" s="235"/>
      <c r="EV7" s="235"/>
      <c r="EW7" s="235"/>
      <c r="EX7" s="235"/>
      <c r="EY7" s="235"/>
      <c r="EZ7" s="235"/>
      <c r="FA7" s="235"/>
      <c r="FB7" s="235"/>
      <c r="FC7" s="235"/>
      <c r="FD7" s="235"/>
      <c r="FE7" s="235"/>
      <c r="FF7" s="235"/>
      <c r="FG7" s="235"/>
      <c r="FH7" s="235"/>
      <c r="FI7" s="235"/>
      <c r="FJ7" s="235"/>
      <c r="FK7" s="235"/>
      <c r="FL7" s="235"/>
      <c r="FM7" s="235"/>
      <c r="FN7" s="235"/>
      <c r="FO7" s="235"/>
      <c r="FP7" s="235"/>
      <c r="FQ7" s="235"/>
      <c r="FR7" s="235"/>
      <c r="FS7" s="235"/>
      <c r="FT7" s="235"/>
      <c r="FU7" s="235"/>
      <c r="FV7" s="235"/>
      <c r="FW7" s="235"/>
      <c r="FX7" s="235"/>
      <c r="FY7" s="235"/>
      <c r="FZ7" s="235"/>
      <c r="GA7" s="235"/>
      <c r="GB7" s="235"/>
      <c r="GC7" s="235"/>
      <c r="GD7" s="235"/>
      <c r="GE7" s="235"/>
      <c r="GF7" s="235"/>
      <c r="GG7" s="235"/>
      <c r="GH7" s="235"/>
      <c r="GI7" s="235"/>
      <c r="GJ7" s="235"/>
      <c r="GK7" s="235"/>
      <c r="GL7" s="235"/>
      <c r="GM7" s="235"/>
      <c r="GN7" s="235"/>
      <c r="GO7" s="235"/>
      <c r="GP7" s="235"/>
      <c r="GQ7" s="235"/>
      <c r="GR7" s="235"/>
      <c r="GS7" s="235"/>
      <c r="GT7" s="235"/>
      <c r="GU7" s="235"/>
      <c r="GV7" s="235"/>
      <c r="GW7" s="235"/>
      <c r="GX7" s="235"/>
      <c r="GY7" s="235"/>
      <c r="GZ7" s="235"/>
      <c r="HA7" s="235"/>
      <c r="HB7" s="235"/>
      <c r="HC7" s="235"/>
      <c r="HD7" s="235"/>
      <c r="HE7" s="235"/>
      <c r="HF7" s="235"/>
      <c r="HG7" s="235"/>
      <c r="HH7" s="235"/>
      <c r="HI7" s="235"/>
      <c r="HJ7" s="235"/>
      <c r="HK7" s="235"/>
      <c r="HL7" s="235"/>
      <c r="HM7" s="235"/>
      <c r="HN7" s="235"/>
      <c r="HO7" s="235"/>
      <c r="HP7" s="235"/>
      <c r="HQ7" s="235"/>
      <c r="HR7" s="235"/>
      <c r="HS7" s="235"/>
      <c r="HT7" s="235"/>
      <c r="HU7" s="235"/>
      <c r="HV7" s="235"/>
      <c r="HW7" s="235"/>
      <c r="HX7" s="235"/>
      <c r="HY7" s="235"/>
      <c r="HZ7" s="235"/>
      <c r="IA7" s="235"/>
      <c r="IB7" s="235"/>
      <c r="IC7" s="235"/>
      <c r="ID7" s="235"/>
      <c r="IE7" s="235"/>
      <c r="IF7" s="235"/>
      <c r="IG7" s="235"/>
      <c r="IH7" s="235"/>
      <c r="II7" s="235"/>
      <c r="IJ7" s="235"/>
      <c r="IK7" s="235"/>
      <c r="IL7" s="235"/>
      <c r="IM7" s="235"/>
      <c r="IN7" s="235"/>
      <c r="IO7" s="235"/>
      <c r="IP7" s="235"/>
      <c r="IQ7" s="235"/>
      <c r="IR7" s="235"/>
      <c r="IS7" s="235"/>
      <c r="IT7" s="235"/>
      <c r="IU7" s="235"/>
      <c r="IV7" s="235"/>
    </row>
    <row r="8" spans="1:256" customFormat="1" ht="14.45" hidden="1" customHeight="1">
      <c r="A8" s="346" t="s">
        <v>96</v>
      </c>
      <c r="B8" s="517">
        <v>0</v>
      </c>
      <c r="C8" s="338"/>
      <c r="D8" s="499"/>
      <c r="E8" s="338"/>
      <c r="F8" s="500"/>
      <c r="G8" s="235"/>
      <c r="H8" s="456"/>
      <c r="I8" s="338"/>
      <c r="J8" s="342"/>
      <c r="K8" s="338"/>
      <c r="L8" s="338"/>
      <c r="M8" s="342"/>
      <c r="N8" s="527"/>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c r="II8" s="235"/>
      <c r="IJ8" s="235"/>
      <c r="IK8" s="235"/>
      <c r="IL8" s="235"/>
      <c r="IM8" s="235"/>
      <c r="IN8" s="235"/>
      <c r="IO8" s="235"/>
      <c r="IP8" s="235"/>
      <c r="IQ8" s="235"/>
      <c r="IR8" s="235"/>
      <c r="IS8" s="235"/>
      <c r="IT8" s="235"/>
      <c r="IU8" s="235"/>
      <c r="IV8" s="235"/>
    </row>
    <row r="9" spans="1:256" customFormat="1" ht="14.45" customHeight="1">
      <c r="A9" s="346" t="s">
        <v>97</v>
      </c>
      <c r="B9" s="517">
        <v>18546</v>
      </c>
      <c r="C9" s="338">
        <v>21482</v>
      </c>
      <c r="D9" s="499">
        <f t="shared" ref="D9" si="2">C9/B9*100</f>
        <v>115.83090693410978</v>
      </c>
      <c r="E9" s="338">
        <v>17282</v>
      </c>
      <c r="F9" s="500">
        <f t="shared" ref="F9" si="3">+(C9-E9)/E9*100</f>
        <v>24.302742738109014</v>
      </c>
      <c r="G9" s="235"/>
      <c r="H9" s="456"/>
      <c r="I9" s="338"/>
      <c r="J9" s="342"/>
      <c r="K9" s="338"/>
      <c r="L9" s="338"/>
      <c r="M9" s="342"/>
      <c r="N9" s="527"/>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c r="CW9" s="235"/>
      <c r="CX9" s="235"/>
      <c r="CY9" s="235"/>
      <c r="CZ9" s="235"/>
      <c r="DA9" s="235"/>
      <c r="DB9" s="235"/>
      <c r="DC9" s="235"/>
      <c r="DD9" s="235"/>
      <c r="DE9" s="235"/>
      <c r="DF9" s="235"/>
      <c r="DG9" s="235"/>
      <c r="DH9" s="235"/>
      <c r="DI9" s="235"/>
      <c r="DJ9" s="235"/>
      <c r="DK9" s="235"/>
      <c r="DL9" s="235"/>
      <c r="DM9" s="235"/>
      <c r="DN9" s="235"/>
      <c r="DO9" s="235"/>
      <c r="DP9" s="235"/>
      <c r="DQ9" s="235"/>
      <c r="DR9" s="235"/>
      <c r="DS9" s="235"/>
      <c r="DT9" s="235"/>
      <c r="DU9" s="235"/>
      <c r="DV9" s="235"/>
      <c r="DW9" s="235"/>
      <c r="DX9" s="235"/>
      <c r="DY9" s="235"/>
      <c r="DZ9" s="235"/>
      <c r="EA9" s="235"/>
      <c r="EB9" s="235"/>
      <c r="EC9" s="235"/>
      <c r="ED9" s="235"/>
      <c r="EE9" s="235"/>
      <c r="EF9" s="235"/>
      <c r="EG9" s="235"/>
      <c r="EH9" s="235"/>
      <c r="EI9" s="235"/>
      <c r="EJ9" s="235"/>
      <c r="EK9" s="235"/>
      <c r="EL9" s="235"/>
      <c r="EM9" s="235"/>
      <c r="EN9" s="235"/>
      <c r="EO9" s="235"/>
      <c r="EP9" s="235"/>
      <c r="EQ9" s="235"/>
      <c r="ER9" s="235"/>
      <c r="ES9" s="235"/>
      <c r="ET9" s="235"/>
      <c r="EU9" s="235"/>
      <c r="EV9" s="235"/>
      <c r="EW9" s="235"/>
      <c r="EX9" s="235"/>
      <c r="EY9" s="235"/>
      <c r="EZ9" s="235"/>
      <c r="FA9" s="235"/>
      <c r="FB9" s="235"/>
      <c r="FC9" s="235"/>
      <c r="FD9" s="235"/>
      <c r="FE9" s="235"/>
      <c r="FF9" s="235"/>
      <c r="FG9" s="235"/>
      <c r="FH9" s="235"/>
      <c r="FI9" s="235"/>
      <c r="FJ9" s="235"/>
      <c r="FK9" s="235"/>
      <c r="FL9" s="235"/>
      <c r="FM9" s="235"/>
      <c r="FN9" s="235"/>
      <c r="FO9" s="235"/>
      <c r="FP9" s="235"/>
      <c r="FQ9" s="235"/>
      <c r="FR9" s="235"/>
      <c r="FS9" s="235"/>
      <c r="FT9" s="235"/>
      <c r="FU9" s="235"/>
      <c r="FV9" s="235"/>
      <c r="FW9" s="235"/>
      <c r="FX9" s="235"/>
      <c r="FY9" s="235"/>
      <c r="FZ9" s="235"/>
      <c r="GA9" s="235"/>
      <c r="GB9" s="235"/>
      <c r="GC9" s="235"/>
      <c r="GD9" s="235"/>
      <c r="GE9" s="235"/>
      <c r="GF9" s="235"/>
      <c r="GG9" s="235"/>
      <c r="GH9" s="235"/>
      <c r="GI9" s="235"/>
      <c r="GJ9" s="235"/>
      <c r="GK9" s="235"/>
      <c r="GL9" s="235"/>
      <c r="GM9" s="235"/>
      <c r="GN9" s="235"/>
      <c r="GO9" s="235"/>
      <c r="GP9" s="235"/>
      <c r="GQ9" s="235"/>
      <c r="GR9" s="235"/>
      <c r="GS9" s="235"/>
      <c r="GT9" s="235"/>
      <c r="GU9" s="235"/>
      <c r="GV9" s="235"/>
      <c r="GW9" s="235"/>
      <c r="GX9" s="235"/>
      <c r="GY9" s="235"/>
      <c r="GZ9" s="235"/>
      <c r="HA9" s="235"/>
      <c r="HB9" s="235"/>
      <c r="HC9" s="235"/>
      <c r="HD9" s="235"/>
      <c r="HE9" s="235"/>
      <c r="HF9" s="235"/>
      <c r="HG9" s="235"/>
      <c r="HH9" s="235"/>
      <c r="HI9" s="235"/>
      <c r="HJ9" s="235"/>
      <c r="HK9" s="235"/>
      <c r="HL9" s="235"/>
      <c r="HM9" s="235"/>
      <c r="HN9" s="235"/>
      <c r="HO9" s="235"/>
      <c r="HP9" s="235"/>
      <c r="HQ9" s="235"/>
      <c r="HR9" s="235"/>
      <c r="HS9" s="235"/>
      <c r="HT9" s="235"/>
      <c r="HU9" s="235"/>
      <c r="HV9" s="235"/>
      <c r="HW9" s="235"/>
      <c r="HX9" s="235"/>
      <c r="HY9" s="235"/>
      <c r="HZ9" s="235"/>
      <c r="IA9" s="235"/>
      <c r="IB9" s="235"/>
      <c r="IC9" s="235"/>
      <c r="ID9" s="235"/>
      <c r="IE9" s="235"/>
      <c r="IF9" s="235"/>
      <c r="IG9" s="235"/>
      <c r="IH9" s="235"/>
      <c r="II9" s="235"/>
      <c r="IJ9" s="235"/>
      <c r="IK9" s="235"/>
      <c r="IL9" s="235"/>
      <c r="IM9" s="235"/>
      <c r="IN9" s="235"/>
      <c r="IO9" s="235"/>
      <c r="IP9" s="235"/>
      <c r="IQ9" s="235"/>
      <c r="IR9" s="235"/>
      <c r="IS9" s="235"/>
      <c r="IT9" s="235"/>
      <c r="IU9" s="235"/>
      <c r="IV9" s="235"/>
    </row>
    <row r="10" spans="1:256" customFormat="1" ht="14.45" customHeight="1">
      <c r="A10" s="346" t="s">
        <v>98</v>
      </c>
      <c r="B10" s="517">
        <v>2101</v>
      </c>
      <c r="C10" s="338">
        <v>2083</v>
      </c>
      <c r="D10" s="499">
        <f t="shared" ref="D10:D18" si="4">C10/B10*100</f>
        <v>99.143265111851491</v>
      </c>
      <c r="E10" s="338">
        <v>1639</v>
      </c>
      <c r="F10" s="500">
        <f t="shared" ref="F10:F18" si="5">+(C10-E10)/E10*100</f>
        <v>27.089688834655277</v>
      </c>
      <c r="G10" s="235"/>
      <c r="H10" s="456"/>
      <c r="I10" s="338"/>
      <c r="J10" s="342"/>
      <c r="K10" s="338"/>
      <c r="L10" s="338"/>
      <c r="M10" s="342"/>
      <c r="N10" s="527"/>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35"/>
      <c r="CL10" s="235"/>
      <c r="CM10" s="235"/>
      <c r="CN10" s="235"/>
      <c r="CO10" s="235"/>
      <c r="CP10" s="235"/>
      <c r="CQ10" s="235"/>
      <c r="CR10" s="235"/>
      <c r="CS10" s="235"/>
      <c r="CT10" s="235"/>
      <c r="CU10" s="235"/>
      <c r="CV10" s="235"/>
      <c r="CW10" s="235"/>
      <c r="CX10" s="235"/>
      <c r="CY10" s="235"/>
      <c r="CZ10" s="235"/>
      <c r="DA10" s="235"/>
      <c r="DB10" s="235"/>
      <c r="DC10" s="235"/>
      <c r="DD10" s="235"/>
      <c r="DE10" s="235"/>
      <c r="DF10" s="235"/>
      <c r="DG10" s="235"/>
      <c r="DH10" s="235"/>
      <c r="DI10" s="235"/>
      <c r="DJ10" s="235"/>
      <c r="DK10" s="235"/>
      <c r="DL10" s="235"/>
      <c r="DM10" s="235"/>
      <c r="DN10" s="235"/>
      <c r="DO10" s="235"/>
      <c r="DP10" s="235"/>
      <c r="DQ10" s="235"/>
      <c r="DR10" s="235"/>
      <c r="DS10" s="235"/>
      <c r="DT10" s="235"/>
      <c r="DU10" s="235"/>
      <c r="DV10" s="235"/>
      <c r="DW10" s="235"/>
      <c r="DX10" s="235"/>
      <c r="DY10" s="235"/>
      <c r="DZ10" s="235"/>
      <c r="EA10" s="235"/>
      <c r="EB10" s="235"/>
      <c r="EC10" s="235"/>
      <c r="ED10" s="235"/>
      <c r="EE10" s="235"/>
      <c r="EF10" s="235"/>
      <c r="EG10" s="235"/>
      <c r="EH10" s="235"/>
      <c r="EI10" s="235"/>
      <c r="EJ10" s="235"/>
      <c r="EK10" s="235"/>
      <c r="EL10" s="235"/>
      <c r="EM10" s="235"/>
      <c r="EN10" s="235"/>
      <c r="EO10" s="235"/>
      <c r="EP10" s="235"/>
      <c r="EQ10" s="235"/>
      <c r="ER10" s="235"/>
      <c r="ES10" s="235"/>
      <c r="ET10" s="235"/>
      <c r="EU10" s="235"/>
      <c r="EV10" s="235"/>
      <c r="EW10" s="235"/>
      <c r="EX10" s="235"/>
      <c r="EY10" s="235"/>
      <c r="EZ10" s="235"/>
      <c r="FA10" s="235"/>
      <c r="FB10" s="235"/>
      <c r="FC10" s="235"/>
      <c r="FD10" s="235"/>
      <c r="FE10" s="235"/>
      <c r="FF10" s="235"/>
      <c r="FG10" s="235"/>
      <c r="FH10" s="235"/>
      <c r="FI10" s="235"/>
      <c r="FJ10" s="235"/>
      <c r="FK10" s="235"/>
      <c r="FL10" s="235"/>
      <c r="FM10" s="235"/>
      <c r="FN10" s="235"/>
      <c r="FO10" s="235"/>
      <c r="FP10" s="235"/>
      <c r="FQ10" s="235"/>
      <c r="FR10" s="235"/>
      <c r="FS10" s="235"/>
      <c r="FT10" s="235"/>
      <c r="FU10" s="235"/>
      <c r="FV10" s="235"/>
      <c r="FW10" s="235"/>
      <c r="FX10" s="235"/>
      <c r="FY10" s="235"/>
      <c r="FZ10" s="235"/>
      <c r="GA10" s="235"/>
      <c r="GB10" s="235"/>
      <c r="GC10" s="235"/>
      <c r="GD10" s="235"/>
      <c r="GE10" s="235"/>
      <c r="GF10" s="235"/>
      <c r="GG10" s="235"/>
      <c r="GH10" s="235"/>
      <c r="GI10" s="235"/>
      <c r="GJ10" s="235"/>
      <c r="GK10" s="235"/>
      <c r="GL10" s="235"/>
      <c r="GM10" s="235"/>
      <c r="GN10" s="235"/>
      <c r="GO10" s="235"/>
      <c r="GP10" s="235"/>
      <c r="GQ10" s="235"/>
      <c r="GR10" s="235"/>
      <c r="GS10" s="235"/>
      <c r="GT10" s="235"/>
      <c r="GU10" s="235"/>
      <c r="GV10" s="235"/>
      <c r="GW10" s="235"/>
      <c r="GX10" s="235"/>
      <c r="GY10" s="235"/>
      <c r="GZ10" s="235"/>
      <c r="HA10" s="235"/>
      <c r="HB10" s="235"/>
      <c r="HC10" s="235"/>
      <c r="HD10" s="235"/>
      <c r="HE10" s="235"/>
      <c r="HF10" s="235"/>
      <c r="HG10" s="235"/>
      <c r="HH10" s="235"/>
      <c r="HI10" s="235"/>
      <c r="HJ10" s="235"/>
      <c r="HK10" s="235"/>
      <c r="HL10" s="235"/>
      <c r="HM10" s="235"/>
      <c r="HN10" s="235"/>
      <c r="HO10" s="235"/>
      <c r="HP10" s="235"/>
      <c r="HQ10" s="235"/>
      <c r="HR10" s="235"/>
      <c r="HS10" s="235"/>
      <c r="HT10" s="235"/>
      <c r="HU10" s="235"/>
      <c r="HV10" s="235"/>
      <c r="HW10" s="235"/>
      <c r="HX10" s="235"/>
      <c r="HY10" s="235"/>
      <c r="HZ10" s="235"/>
      <c r="IA10" s="235"/>
      <c r="IB10" s="235"/>
      <c r="IC10" s="235"/>
      <c r="ID10" s="235"/>
      <c r="IE10" s="235"/>
      <c r="IF10" s="235"/>
      <c r="IG10" s="235"/>
      <c r="IH10" s="235"/>
      <c r="II10" s="235"/>
      <c r="IJ10" s="235"/>
      <c r="IK10" s="235"/>
      <c r="IL10" s="235"/>
      <c r="IM10" s="235"/>
      <c r="IN10" s="235"/>
      <c r="IO10" s="235"/>
      <c r="IP10" s="235"/>
      <c r="IQ10" s="235"/>
      <c r="IR10" s="235"/>
      <c r="IS10" s="235"/>
      <c r="IT10" s="235"/>
      <c r="IU10" s="235"/>
      <c r="IV10" s="235"/>
    </row>
    <row r="11" spans="1:256" customFormat="1" ht="14.45" customHeight="1">
      <c r="A11" s="346" t="s">
        <v>99</v>
      </c>
      <c r="B11" s="517">
        <v>33265</v>
      </c>
      <c r="C11" s="338">
        <v>34972</v>
      </c>
      <c r="D11" s="499">
        <f t="shared" si="4"/>
        <v>105.13151961521119</v>
      </c>
      <c r="E11" s="338">
        <v>30754</v>
      </c>
      <c r="F11" s="500">
        <f t="shared" si="5"/>
        <v>13.715289068088705</v>
      </c>
      <c r="G11" s="235"/>
      <c r="H11" s="456"/>
      <c r="I11" s="338"/>
      <c r="J11" s="342"/>
      <c r="K11" s="338"/>
      <c r="L11" s="338"/>
      <c r="M11" s="342"/>
      <c r="N11" s="527"/>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5"/>
      <c r="GQ11" s="235"/>
      <c r="GR11" s="235"/>
      <c r="GS11" s="235"/>
      <c r="GT11" s="235"/>
      <c r="GU11" s="235"/>
      <c r="GV11" s="235"/>
      <c r="GW11" s="235"/>
      <c r="GX11" s="235"/>
      <c r="GY11" s="235"/>
      <c r="GZ11" s="235"/>
      <c r="HA11" s="235"/>
      <c r="HB11" s="235"/>
      <c r="HC11" s="235"/>
      <c r="HD11" s="235"/>
      <c r="HE11" s="235"/>
      <c r="HF11" s="235"/>
      <c r="HG11" s="235"/>
      <c r="HH11" s="235"/>
      <c r="HI11" s="235"/>
      <c r="HJ11" s="235"/>
      <c r="HK11" s="235"/>
      <c r="HL11" s="235"/>
      <c r="HM11" s="235"/>
      <c r="HN11" s="235"/>
      <c r="HO11" s="235"/>
      <c r="HP11" s="235"/>
      <c r="HQ11" s="235"/>
      <c r="HR11" s="235"/>
      <c r="HS11" s="235"/>
      <c r="HT11" s="235"/>
      <c r="HU11" s="235"/>
      <c r="HV11" s="235"/>
      <c r="HW11" s="235"/>
      <c r="HX11" s="235"/>
      <c r="HY11" s="235"/>
      <c r="HZ11" s="235"/>
      <c r="IA11" s="235"/>
      <c r="IB11" s="235"/>
      <c r="IC11" s="235"/>
      <c r="ID11" s="235"/>
      <c r="IE11" s="235"/>
      <c r="IF11" s="235"/>
      <c r="IG11" s="235"/>
      <c r="IH11" s="235"/>
      <c r="II11" s="235"/>
      <c r="IJ11" s="235"/>
      <c r="IK11" s="235"/>
      <c r="IL11" s="235"/>
      <c r="IM11" s="235"/>
      <c r="IN11" s="235"/>
      <c r="IO11" s="235"/>
      <c r="IP11" s="235"/>
      <c r="IQ11" s="235"/>
      <c r="IR11" s="235"/>
      <c r="IS11" s="235"/>
      <c r="IT11" s="235"/>
      <c r="IU11" s="235"/>
      <c r="IV11" s="235"/>
    </row>
    <row r="12" spans="1:256" customFormat="1" ht="14.45" customHeight="1">
      <c r="A12" s="346" t="s">
        <v>100</v>
      </c>
      <c r="B12" s="517">
        <v>21599</v>
      </c>
      <c r="C12" s="338">
        <v>24138</v>
      </c>
      <c r="D12" s="499">
        <f t="shared" si="4"/>
        <v>111.75517385064124</v>
      </c>
      <c r="E12" s="338">
        <v>17957</v>
      </c>
      <c r="F12" s="500">
        <f t="shared" si="5"/>
        <v>34.421117113103527</v>
      </c>
      <c r="G12" s="235"/>
      <c r="H12" s="456"/>
      <c r="I12" s="338"/>
      <c r="J12" s="342"/>
      <c r="K12" s="338"/>
      <c r="L12" s="338"/>
      <c r="M12" s="342"/>
      <c r="N12" s="527"/>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c r="BP12" s="235"/>
      <c r="BQ12" s="235"/>
      <c r="BR12" s="235"/>
      <c r="BS12" s="235"/>
      <c r="BT12" s="235"/>
      <c r="BU12" s="235"/>
      <c r="BV12" s="235"/>
      <c r="BW12" s="235"/>
      <c r="BX12" s="235"/>
      <c r="BY12" s="235"/>
      <c r="BZ12" s="235"/>
      <c r="CA12" s="235"/>
      <c r="CB12" s="235"/>
      <c r="CC12" s="235"/>
      <c r="CD12" s="235"/>
      <c r="CE12" s="235"/>
      <c r="CF12" s="235"/>
      <c r="CG12" s="235"/>
      <c r="CH12" s="235"/>
      <c r="CI12" s="235"/>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5"/>
      <c r="GQ12" s="235"/>
      <c r="GR12" s="235"/>
      <c r="GS12" s="235"/>
      <c r="GT12" s="235"/>
      <c r="GU12" s="235"/>
      <c r="GV12" s="235"/>
      <c r="GW12" s="235"/>
      <c r="GX12" s="235"/>
      <c r="GY12" s="235"/>
      <c r="GZ12" s="235"/>
      <c r="HA12" s="235"/>
      <c r="HB12" s="235"/>
      <c r="HC12" s="235"/>
      <c r="HD12" s="235"/>
      <c r="HE12" s="235"/>
      <c r="HF12" s="235"/>
      <c r="HG12" s="235"/>
      <c r="HH12" s="235"/>
      <c r="HI12" s="235"/>
      <c r="HJ12" s="235"/>
      <c r="HK12" s="235"/>
      <c r="HL12" s="235"/>
      <c r="HM12" s="235"/>
      <c r="HN12" s="235"/>
      <c r="HO12" s="235"/>
      <c r="HP12" s="235"/>
      <c r="HQ12" s="235"/>
      <c r="HR12" s="235"/>
      <c r="HS12" s="235"/>
      <c r="HT12" s="235"/>
      <c r="HU12" s="235"/>
      <c r="HV12" s="235"/>
      <c r="HW12" s="235"/>
      <c r="HX12" s="235"/>
      <c r="HY12" s="235"/>
      <c r="HZ12" s="235"/>
      <c r="IA12" s="235"/>
      <c r="IB12" s="235"/>
      <c r="IC12" s="235"/>
      <c r="ID12" s="235"/>
      <c r="IE12" s="235"/>
      <c r="IF12" s="235"/>
      <c r="IG12" s="235"/>
      <c r="IH12" s="235"/>
      <c r="II12" s="235"/>
      <c r="IJ12" s="235"/>
      <c r="IK12" s="235"/>
      <c r="IL12" s="235"/>
      <c r="IM12" s="235"/>
      <c r="IN12" s="235"/>
      <c r="IO12" s="235"/>
      <c r="IP12" s="235"/>
      <c r="IQ12" s="235"/>
      <c r="IR12" s="235"/>
      <c r="IS12" s="235"/>
      <c r="IT12" s="235"/>
      <c r="IU12" s="235"/>
      <c r="IV12" s="235"/>
    </row>
    <row r="13" spans="1:256" customFormat="1" ht="14.45" customHeight="1">
      <c r="A13" s="346" t="s">
        <v>101</v>
      </c>
      <c r="B13" s="517">
        <v>6950</v>
      </c>
      <c r="C13" s="338">
        <v>7094</v>
      </c>
      <c r="D13" s="499">
        <f t="shared" si="4"/>
        <v>102.07194244604317</v>
      </c>
      <c r="E13" s="338">
        <v>6031</v>
      </c>
      <c r="F13" s="500">
        <f t="shared" si="5"/>
        <v>17.625601061183882</v>
      </c>
      <c r="G13" s="235"/>
      <c r="H13" s="456"/>
      <c r="I13" s="338"/>
      <c r="J13" s="342"/>
      <c r="K13" s="338"/>
      <c r="L13" s="338"/>
      <c r="M13" s="342"/>
      <c r="N13" s="527"/>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c r="DE13" s="235"/>
      <c r="DF13" s="235"/>
      <c r="DG13" s="235"/>
      <c r="DH13" s="235"/>
      <c r="DI13" s="235"/>
      <c r="DJ13" s="235"/>
      <c r="DK13" s="235"/>
      <c r="DL13" s="235"/>
      <c r="DM13" s="235"/>
      <c r="DN13" s="235"/>
      <c r="DO13" s="235"/>
      <c r="DP13" s="235"/>
      <c r="DQ13" s="235"/>
      <c r="DR13" s="235"/>
      <c r="DS13" s="235"/>
      <c r="DT13" s="235"/>
      <c r="DU13" s="235"/>
      <c r="DV13" s="235"/>
      <c r="DW13" s="235"/>
      <c r="DX13" s="235"/>
      <c r="DY13" s="235"/>
      <c r="DZ13" s="235"/>
      <c r="EA13" s="235"/>
      <c r="EB13" s="235"/>
      <c r="EC13" s="235"/>
      <c r="ED13" s="235"/>
      <c r="EE13" s="235"/>
      <c r="EF13" s="235"/>
      <c r="EG13" s="235"/>
      <c r="EH13" s="235"/>
      <c r="EI13" s="235"/>
      <c r="EJ13" s="235"/>
      <c r="EK13" s="235"/>
      <c r="EL13" s="235"/>
      <c r="EM13" s="235"/>
      <c r="EN13" s="235"/>
      <c r="EO13" s="235"/>
      <c r="EP13" s="235"/>
      <c r="EQ13" s="235"/>
      <c r="ER13" s="235"/>
      <c r="ES13" s="235"/>
      <c r="ET13" s="235"/>
      <c r="EU13" s="235"/>
      <c r="EV13" s="235"/>
      <c r="EW13" s="235"/>
      <c r="EX13" s="235"/>
      <c r="EY13" s="235"/>
      <c r="EZ13" s="235"/>
      <c r="FA13" s="235"/>
      <c r="FB13" s="235"/>
      <c r="FC13" s="235"/>
      <c r="FD13" s="235"/>
      <c r="FE13" s="235"/>
      <c r="FF13" s="235"/>
      <c r="FG13" s="235"/>
      <c r="FH13" s="235"/>
      <c r="FI13" s="235"/>
      <c r="FJ13" s="235"/>
      <c r="FK13" s="235"/>
      <c r="FL13" s="235"/>
      <c r="FM13" s="235"/>
      <c r="FN13" s="235"/>
      <c r="FO13" s="235"/>
      <c r="FP13" s="235"/>
      <c r="FQ13" s="235"/>
      <c r="FR13" s="235"/>
      <c r="FS13" s="235"/>
      <c r="FT13" s="235"/>
      <c r="FU13" s="235"/>
      <c r="FV13" s="235"/>
      <c r="FW13" s="235"/>
      <c r="FX13" s="235"/>
      <c r="FY13" s="235"/>
      <c r="FZ13" s="235"/>
      <c r="GA13" s="235"/>
      <c r="GB13" s="235"/>
      <c r="GC13" s="235"/>
      <c r="GD13" s="235"/>
      <c r="GE13" s="235"/>
      <c r="GF13" s="235"/>
      <c r="GG13" s="235"/>
      <c r="GH13" s="235"/>
      <c r="GI13" s="235"/>
      <c r="GJ13" s="235"/>
      <c r="GK13" s="235"/>
      <c r="GL13" s="235"/>
      <c r="GM13" s="235"/>
      <c r="GN13" s="235"/>
      <c r="GO13" s="235"/>
      <c r="GP13" s="235"/>
      <c r="GQ13" s="235"/>
      <c r="GR13" s="235"/>
      <c r="GS13" s="235"/>
      <c r="GT13" s="235"/>
      <c r="GU13" s="235"/>
      <c r="GV13" s="235"/>
      <c r="GW13" s="235"/>
      <c r="GX13" s="235"/>
      <c r="GY13" s="235"/>
      <c r="GZ13" s="235"/>
      <c r="HA13" s="235"/>
      <c r="HB13" s="235"/>
      <c r="HC13" s="235"/>
      <c r="HD13" s="235"/>
      <c r="HE13" s="235"/>
      <c r="HF13" s="235"/>
      <c r="HG13" s="235"/>
      <c r="HH13" s="235"/>
      <c r="HI13" s="235"/>
      <c r="HJ13" s="235"/>
      <c r="HK13" s="235"/>
      <c r="HL13" s="235"/>
      <c r="HM13" s="235"/>
      <c r="HN13" s="235"/>
      <c r="HO13" s="235"/>
      <c r="HP13" s="235"/>
      <c r="HQ13" s="235"/>
      <c r="HR13" s="235"/>
      <c r="HS13" s="235"/>
      <c r="HT13" s="235"/>
      <c r="HU13" s="235"/>
      <c r="HV13" s="235"/>
      <c r="HW13" s="235"/>
      <c r="HX13" s="235"/>
      <c r="HY13" s="235"/>
      <c r="HZ13" s="235"/>
      <c r="IA13" s="235"/>
      <c r="IB13" s="235"/>
      <c r="IC13" s="235"/>
      <c r="ID13" s="235"/>
      <c r="IE13" s="235"/>
      <c r="IF13" s="235"/>
      <c r="IG13" s="235"/>
      <c r="IH13" s="235"/>
      <c r="II13" s="235"/>
      <c r="IJ13" s="235"/>
      <c r="IK13" s="235"/>
      <c r="IL13" s="235"/>
      <c r="IM13" s="235"/>
      <c r="IN13" s="235"/>
      <c r="IO13" s="235"/>
      <c r="IP13" s="235"/>
      <c r="IQ13" s="235"/>
      <c r="IR13" s="235"/>
      <c r="IS13" s="235"/>
      <c r="IT13" s="235"/>
      <c r="IU13" s="235"/>
      <c r="IV13" s="235"/>
    </row>
    <row r="14" spans="1:256" customFormat="1" ht="14.45" customHeight="1">
      <c r="A14" s="346" t="s">
        <v>102</v>
      </c>
      <c r="B14" s="517">
        <v>36739</v>
      </c>
      <c r="C14" s="338">
        <v>31499</v>
      </c>
      <c r="D14" s="499">
        <f t="shared" si="4"/>
        <v>85.737227469446637</v>
      </c>
      <c r="E14" s="338">
        <v>30841</v>
      </c>
      <c r="F14" s="500">
        <f t="shared" si="5"/>
        <v>2.1335235563049189</v>
      </c>
      <c r="G14" s="235"/>
      <c r="H14" s="456"/>
      <c r="I14" s="338"/>
      <c r="J14" s="342"/>
      <c r="K14" s="338"/>
      <c r="L14" s="338"/>
      <c r="M14" s="342"/>
      <c r="N14" s="527"/>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c r="EH14" s="235"/>
      <c r="EI14" s="235"/>
      <c r="EJ14" s="235"/>
      <c r="EK14" s="235"/>
      <c r="EL14" s="235"/>
      <c r="EM14" s="235"/>
      <c r="EN14" s="235"/>
      <c r="EO14" s="235"/>
      <c r="EP14" s="235"/>
      <c r="EQ14" s="235"/>
      <c r="ER14" s="235"/>
      <c r="ES14" s="235"/>
      <c r="ET14" s="235"/>
      <c r="EU14" s="235"/>
      <c r="EV14" s="235"/>
      <c r="EW14" s="235"/>
      <c r="EX14" s="235"/>
      <c r="EY14" s="235"/>
      <c r="EZ14" s="235"/>
      <c r="FA14" s="235"/>
      <c r="FB14" s="235"/>
      <c r="FC14" s="235"/>
      <c r="FD14" s="235"/>
      <c r="FE14" s="235"/>
      <c r="FF14" s="235"/>
      <c r="FG14" s="235"/>
      <c r="FH14" s="235"/>
      <c r="FI14" s="235"/>
      <c r="FJ14" s="235"/>
      <c r="FK14" s="235"/>
      <c r="FL14" s="235"/>
      <c r="FM14" s="235"/>
      <c r="FN14" s="235"/>
      <c r="FO14" s="235"/>
      <c r="FP14" s="235"/>
      <c r="FQ14" s="235"/>
      <c r="FR14" s="235"/>
      <c r="FS14" s="235"/>
      <c r="FT14" s="235"/>
      <c r="FU14" s="235"/>
      <c r="FV14" s="235"/>
      <c r="FW14" s="235"/>
      <c r="FX14" s="235"/>
      <c r="FY14" s="235"/>
      <c r="FZ14" s="235"/>
      <c r="GA14" s="235"/>
      <c r="GB14" s="235"/>
      <c r="GC14" s="235"/>
      <c r="GD14" s="235"/>
      <c r="GE14" s="235"/>
      <c r="GF14" s="235"/>
      <c r="GG14" s="235"/>
      <c r="GH14" s="235"/>
      <c r="GI14" s="235"/>
      <c r="GJ14" s="235"/>
      <c r="GK14" s="235"/>
      <c r="GL14" s="235"/>
      <c r="GM14" s="235"/>
      <c r="GN14" s="235"/>
      <c r="GO14" s="235"/>
      <c r="GP14" s="235"/>
      <c r="GQ14" s="235"/>
      <c r="GR14" s="235"/>
      <c r="GS14" s="235"/>
      <c r="GT14" s="235"/>
      <c r="GU14" s="235"/>
      <c r="GV14" s="235"/>
      <c r="GW14" s="235"/>
      <c r="GX14" s="235"/>
      <c r="GY14" s="235"/>
      <c r="GZ14" s="235"/>
      <c r="HA14" s="235"/>
      <c r="HB14" s="235"/>
      <c r="HC14" s="235"/>
      <c r="HD14" s="235"/>
      <c r="HE14" s="235"/>
      <c r="HF14" s="235"/>
      <c r="HG14" s="235"/>
      <c r="HH14" s="235"/>
      <c r="HI14" s="235"/>
      <c r="HJ14" s="235"/>
      <c r="HK14" s="235"/>
      <c r="HL14" s="235"/>
      <c r="HM14" s="235"/>
      <c r="HN14" s="235"/>
      <c r="HO14" s="235"/>
      <c r="HP14" s="235"/>
      <c r="HQ14" s="235"/>
      <c r="HR14" s="235"/>
      <c r="HS14" s="235"/>
      <c r="HT14" s="235"/>
      <c r="HU14" s="235"/>
      <c r="HV14" s="235"/>
      <c r="HW14" s="235"/>
      <c r="HX14" s="235"/>
      <c r="HY14" s="235"/>
      <c r="HZ14" s="235"/>
      <c r="IA14" s="235"/>
      <c r="IB14" s="235"/>
      <c r="IC14" s="235"/>
      <c r="ID14" s="235"/>
      <c r="IE14" s="235"/>
      <c r="IF14" s="235"/>
      <c r="IG14" s="235"/>
      <c r="IH14" s="235"/>
      <c r="II14" s="235"/>
      <c r="IJ14" s="235"/>
      <c r="IK14" s="235"/>
      <c r="IL14" s="235"/>
      <c r="IM14" s="235"/>
      <c r="IN14" s="235"/>
      <c r="IO14" s="235"/>
      <c r="IP14" s="235"/>
      <c r="IQ14" s="235"/>
      <c r="IR14" s="235"/>
      <c r="IS14" s="235"/>
      <c r="IT14" s="235"/>
      <c r="IU14" s="235"/>
      <c r="IV14" s="235"/>
    </row>
    <row r="15" spans="1:256" customFormat="1" ht="14.45" customHeight="1">
      <c r="A15" s="346" t="s">
        <v>103</v>
      </c>
      <c r="B15" s="517">
        <v>33789</v>
      </c>
      <c r="C15" s="338">
        <v>40223</v>
      </c>
      <c r="D15" s="499">
        <f t="shared" si="4"/>
        <v>119.04169996152594</v>
      </c>
      <c r="E15" s="338">
        <v>29402</v>
      </c>
      <c r="F15" s="500">
        <f t="shared" si="5"/>
        <v>36.803618801442077</v>
      </c>
      <c r="G15" s="235"/>
      <c r="H15" s="456"/>
      <c r="I15" s="338"/>
      <c r="J15" s="342"/>
      <c r="K15" s="338"/>
      <c r="L15" s="338"/>
      <c r="M15" s="342"/>
      <c r="N15" s="527"/>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5"/>
      <c r="DI15" s="235"/>
      <c r="DJ15" s="235"/>
      <c r="DK15" s="235"/>
      <c r="DL15" s="235"/>
      <c r="DM15" s="235"/>
      <c r="DN15" s="235"/>
      <c r="DO15" s="235"/>
      <c r="DP15" s="235"/>
      <c r="DQ15" s="235"/>
      <c r="DR15" s="235"/>
      <c r="DS15" s="235"/>
      <c r="DT15" s="235"/>
      <c r="DU15" s="235"/>
      <c r="DV15" s="235"/>
      <c r="DW15" s="235"/>
      <c r="DX15" s="235"/>
      <c r="DY15" s="235"/>
      <c r="DZ15" s="235"/>
      <c r="EA15" s="235"/>
      <c r="EB15" s="235"/>
      <c r="EC15" s="235"/>
      <c r="ED15" s="235"/>
      <c r="EE15" s="235"/>
      <c r="EF15" s="235"/>
      <c r="EG15" s="235"/>
      <c r="EH15" s="235"/>
      <c r="EI15" s="235"/>
      <c r="EJ15" s="235"/>
      <c r="EK15" s="235"/>
      <c r="EL15" s="235"/>
      <c r="EM15" s="235"/>
      <c r="EN15" s="235"/>
      <c r="EO15" s="235"/>
      <c r="EP15" s="235"/>
      <c r="EQ15" s="235"/>
      <c r="ER15" s="235"/>
      <c r="ES15" s="235"/>
      <c r="ET15" s="235"/>
      <c r="EU15" s="235"/>
      <c r="EV15" s="235"/>
      <c r="EW15" s="235"/>
      <c r="EX15" s="235"/>
      <c r="EY15" s="235"/>
      <c r="EZ15" s="235"/>
      <c r="FA15" s="235"/>
      <c r="FB15" s="235"/>
      <c r="FC15" s="235"/>
      <c r="FD15" s="235"/>
      <c r="FE15" s="235"/>
      <c r="FF15" s="235"/>
      <c r="FG15" s="235"/>
      <c r="FH15" s="235"/>
      <c r="FI15" s="235"/>
      <c r="FJ15" s="235"/>
      <c r="FK15" s="235"/>
      <c r="FL15" s="235"/>
      <c r="FM15" s="235"/>
      <c r="FN15" s="235"/>
      <c r="FO15" s="235"/>
      <c r="FP15" s="235"/>
      <c r="FQ15" s="235"/>
      <c r="FR15" s="235"/>
      <c r="FS15" s="235"/>
      <c r="FT15" s="235"/>
      <c r="FU15" s="235"/>
      <c r="FV15" s="235"/>
      <c r="FW15" s="235"/>
      <c r="FX15" s="235"/>
      <c r="FY15" s="235"/>
      <c r="FZ15" s="235"/>
      <c r="GA15" s="235"/>
      <c r="GB15" s="235"/>
      <c r="GC15" s="235"/>
      <c r="GD15" s="235"/>
      <c r="GE15" s="235"/>
      <c r="GF15" s="235"/>
      <c r="GG15" s="235"/>
      <c r="GH15" s="235"/>
      <c r="GI15" s="235"/>
      <c r="GJ15" s="235"/>
      <c r="GK15" s="235"/>
      <c r="GL15" s="235"/>
      <c r="GM15" s="235"/>
      <c r="GN15" s="235"/>
      <c r="GO15" s="235"/>
      <c r="GP15" s="235"/>
      <c r="GQ15" s="235"/>
      <c r="GR15" s="235"/>
      <c r="GS15" s="235"/>
      <c r="GT15" s="235"/>
      <c r="GU15" s="235"/>
      <c r="GV15" s="235"/>
      <c r="GW15" s="235"/>
      <c r="GX15" s="235"/>
      <c r="GY15" s="235"/>
      <c r="GZ15" s="235"/>
      <c r="HA15" s="235"/>
      <c r="HB15" s="235"/>
      <c r="HC15" s="235"/>
      <c r="HD15" s="235"/>
      <c r="HE15" s="235"/>
      <c r="HF15" s="235"/>
      <c r="HG15" s="235"/>
      <c r="HH15" s="235"/>
      <c r="HI15" s="235"/>
      <c r="HJ15" s="235"/>
      <c r="HK15" s="235"/>
      <c r="HL15" s="235"/>
      <c r="HM15" s="235"/>
      <c r="HN15" s="235"/>
      <c r="HO15" s="235"/>
      <c r="HP15" s="235"/>
      <c r="HQ15" s="235"/>
      <c r="HR15" s="235"/>
      <c r="HS15" s="235"/>
      <c r="HT15" s="235"/>
      <c r="HU15" s="235"/>
      <c r="HV15" s="235"/>
      <c r="HW15" s="235"/>
      <c r="HX15" s="235"/>
      <c r="HY15" s="235"/>
      <c r="HZ15" s="235"/>
      <c r="IA15" s="235"/>
      <c r="IB15" s="235"/>
      <c r="IC15" s="235"/>
      <c r="ID15" s="235"/>
      <c r="IE15" s="235"/>
      <c r="IF15" s="235"/>
      <c r="IG15" s="235"/>
      <c r="IH15" s="235"/>
      <c r="II15" s="235"/>
      <c r="IJ15" s="235"/>
      <c r="IK15" s="235"/>
      <c r="IL15" s="235"/>
      <c r="IM15" s="235"/>
      <c r="IN15" s="235"/>
      <c r="IO15" s="235"/>
      <c r="IP15" s="235"/>
      <c r="IQ15" s="235"/>
      <c r="IR15" s="235"/>
      <c r="IS15" s="235"/>
      <c r="IT15" s="235"/>
      <c r="IU15" s="235"/>
      <c r="IV15" s="235"/>
    </row>
    <row r="16" spans="1:256" customFormat="1" ht="14.45" customHeight="1">
      <c r="A16" s="346" t="s">
        <v>104</v>
      </c>
      <c r="B16" s="517">
        <v>11497</v>
      </c>
      <c r="C16" s="338">
        <v>11177</v>
      </c>
      <c r="D16" s="499">
        <f t="shared" si="4"/>
        <v>97.21666521701313</v>
      </c>
      <c r="E16" s="338">
        <v>9848</v>
      </c>
      <c r="F16" s="500">
        <f t="shared" si="5"/>
        <v>13.495125913891146</v>
      </c>
      <c r="G16" s="235"/>
      <c r="H16" s="456"/>
      <c r="I16" s="338"/>
      <c r="J16" s="342"/>
      <c r="K16" s="338"/>
      <c r="L16" s="338"/>
      <c r="M16" s="342"/>
      <c r="N16" s="527"/>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c r="EH16" s="235"/>
      <c r="EI16" s="235"/>
      <c r="EJ16" s="235"/>
      <c r="EK16" s="235"/>
      <c r="EL16" s="235"/>
      <c r="EM16" s="235"/>
      <c r="EN16" s="235"/>
      <c r="EO16" s="235"/>
      <c r="EP16" s="235"/>
      <c r="EQ16" s="235"/>
      <c r="ER16" s="235"/>
      <c r="ES16" s="235"/>
      <c r="ET16" s="235"/>
      <c r="EU16" s="235"/>
      <c r="EV16" s="235"/>
      <c r="EW16" s="235"/>
      <c r="EX16" s="235"/>
      <c r="EY16" s="235"/>
      <c r="EZ16" s="235"/>
      <c r="FA16" s="235"/>
      <c r="FB16" s="235"/>
      <c r="FC16" s="235"/>
      <c r="FD16" s="235"/>
      <c r="FE16" s="235"/>
      <c r="FF16" s="235"/>
      <c r="FG16" s="235"/>
      <c r="FH16" s="235"/>
      <c r="FI16" s="235"/>
      <c r="FJ16" s="235"/>
      <c r="FK16" s="235"/>
      <c r="FL16" s="235"/>
      <c r="FM16" s="235"/>
      <c r="FN16" s="235"/>
      <c r="FO16" s="235"/>
      <c r="FP16" s="235"/>
      <c r="FQ16" s="235"/>
      <c r="FR16" s="235"/>
      <c r="FS16" s="235"/>
      <c r="FT16" s="235"/>
      <c r="FU16" s="235"/>
      <c r="FV16" s="235"/>
      <c r="FW16" s="235"/>
      <c r="FX16" s="235"/>
      <c r="FY16" s="235"/>
      <c r="FZ16" s="235"/>
      <c r="GA16" s="235"/>
      <c r="GB16" s="235"/>
      <c r="GC16" s="235"/>
      <c r="GD16" s="235"/>
      <c r="GE16" s="235"/>
      <c r="GF16" s="235"/>
      <c r="GG16" s="235"/>
      <c r="GH16" s="235"/>
      <c r="GI16" s="235"/>
      <c r="GJ16" s="235"/>
      <c r="GK16" s="235"/>
      <c r="GL16" s="235"/>
      <c r="GM16" s="235"/>
      <c r="GN16" s="235"/>
      <c r="GO16" s="235"/>
      <c r="GP16" s="235"/>
      <c r="GQ16" s="235"/>
      <c r="GR16" s="235"/>
      <c r="GS16" s="235"/>
      <c r="GT16" s="235"/>
      <c r="GU16" s="235"/>
      <c r="GV16" s="235"/>
      <c r="GW16" s="235"/>
      <c r="GX16" s="235"/>
      <c r="GY16" s="235"/>
      <c r="GZ16" s="235"/>
      <c r="HA16" s="235"/>
      <c r="HB16" s="235"/>
      <c r="HC16" s="235"/>
      <c r="HD16" s="235"/>
      <c r="HE16" s="235"/>
      <c r="HF16" s="235"/>
      <c r="HG16" s="235"/>
      <c r="HH16" s="235"/>
      <c r="HI16" s="235"/>
      <c r="HJ16" s="235"/>
      <c r="HK16" s="235"/>
      <c r="HL16" s="235"/>
      <c r="HM16" s="235"/>
      <c r="HN16" s="235"/>
      <c r="HO16" s="235"/>
      <c r="HP16" s="235"/>
      <c r="HQ16" s="235"/>
      <c r="HR16" s="235"/>
      <c r="HS16" s="235"/>
      <c r="HT16" s="235"/>
      <c r="HU16" s="235"/>
      <c r="HV16" s="235"/>
      <c r="HW16" s="235"/>
      <c r="HX16" s="235"/>
      <c r="HY16" s="235"/>
      <c r="HZ16" s="235"/>
      <c r="IA16" s="235"/>
      <c r="IB16" s="235"/>
      <c r="IC16" s="235"/>
      <c r="ID16" s="235"/>
      <c r="IE16" s="235"/>
      <c r="IF16" s="235"/>
      <c r="IG16" s="235"/>
      <c r="IH16" s="235"/>
      <c r="II16" s="235"/>
      <c r="IJ16" s="235"/>
      <c r="IK16" s="235"/>
      <c r="IL16" s="235"/>
      <c r="IM16" s="235"/>
      <c r="IN16" s="235"/>
      <c r="IO16" s="235"/>
      <c r="IP16" s="235"/>
      <c r="IQ16" s="235"/>
      <c r="IR16" s="235"/>
      <c r="IS16" s="235"/>
      <c r="IT16" s="235"/>
      <c r="IU16" s="235"/>
      <c r="IV16" s="235"/>
    </row>
    <row r="17" spans="1:256" customFormat="1" ht="14.45" customHeight="1">
      <c r="A17" s="346" t="s">
        <v>105</v>
      </c>
      <c r="B17" s="517">
        <v>33343</v>
      </c>
      <c r="C17" s="338">
        <v>25684</v>
      </c>
      <c r="D17" s="499">
        <f t="shared" si="4"/>
        <v>77.02966139819452</v>
      </c>
      <c r="E17" s="338">
        <v>32522</v>
      </c>
      <c r="F17" s="500">
        <f t="shared" si="5"/>
        <v>-21.025767172990591</v>
      </c>
      <c r="G17" s="235"/>
      <c r="H17" s="456"/>
      <c r="I17" s="338"/>
      <c r="J17" s="342"/>
      <c r="K17" s="338"/>
      <c r="L17" s="338"/>
      <c r="M17" s="342"/>
      <c r="N17" s="527"/>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c r="CC17" s="235"/>
      <c r="CD17" s="235"/>
      <c r="CE17" s="235"/>
      <c r="CF17" s="235"/>
      <c r="CG17" s="235"/>
      <c r="CH17" s="235"/>
      <c r="CI17" s="235"/>
      <c r="CJ17" s="235"/>
      <c r="CK17" s="235"/>
      <c r="CL17" s="235"/>
      <c r="CM17" s="235"/>
      <c r="CN17" s="235"/>
      <c r="CO17" s="235"/>
      <c r="CP17" s="235"/>
      <c r="CQ17" s="235"/>
      <c r="CR17" s="235"/>
      <c r="CS17" s="235"/>
      <c r="CT17" s="235"/>
      <c r="CU17" s="235"/>
      <c r="CV17" s="235"/>
      <c r="CW17" s="235"/>
      <c r="CX17" s="235"/>
      <c r="CY17" s="235"/>
      <c r="CZ17" s="235"/>
      <c r="DA17" s="235"/>
      <c r="DB17" s="235"/>
      <c r="DC17" s="235"/>
      <c r="DD17" s="235"/>
      <c r="DE17" s="235"/>
      <c r="DF17" s="235"/>
      <c r="DG17" s="235"/>
      <c r="DH17" s="235"/>
      <c r="DI17" s="235"/>
      <c r="DJ17" s="235"/>
      <c r="DK17" s="235"/>
      <c r="DL17" s="235"/>
      <c r="DM17" s="235"/>
      <c r="DN17" s="235"/>
      <c r="DO17" s="235"/>
      <c r="DP17" s="235"/>
      <c r="DQ17" s="235"/>
      <c r="DR17" s="235"/>
      <c r="DS17" s="235"/>
      <c r="DT17" s="235"/>
      <c r="DU17" s="235"/>
      <c r="DV17" s="235"/>
      <c r="DW17" s="235"/>
      <c r="DX17" s="235"/>
      <c r="DY17" s="235"/>
      <c r="DZ17" s="235"/>
      <c r="EA17" s="235"/>
      <c r="EB17" s="235"/>
      <c r="EC17" s="235"/>
      <c r="ED17" s="235"/>
      <c r="EE17" s="235"/>
      <c r="EF17" s="235"/>
      <c r="EG17" s="235"/>
      <c r="EH17" s="235"/>
      <c r="EI17" s="235"/>
      <c r="EJ17" s="235"/>
      <c r="EK17" s="235"/>
      <c r="EL17" s="235"/>
      <c r="EM17" s="235"/>
      <c r="EN17" s="235"/>
      <c r="EO17" s="235"/>
      <c r="EP17" s="235"/>
      <c r="EQ17" s="235"/>
      <c r="ER17" s="235"/>
      <c r="ES17" s="235"/>
      <c r="ET17" s="235"/>
      <c r="EU17" s="235"/>
      <c r="EV17" s="235"/>
      <c r="EW17" s="235"/>
      <c r="EX17" s="235"/>
      <c r="EY17" s="235"/>
      <c r="EZ17" s="235"/>
      <c r="FA17" s="235"/>
      <c r="FB17" s="235"/>
      <c r="FC17" s="235"/>
      <c r="FD17" s="235"/>
      <c r="FE17" s="235"/>
      <c r="FF17" s="235"/>
      <c r="FG17" s="235"/>
      <c r="FH17" s="235"/>
      <c r="FI17" s="235"/>
      <c r="FJ17" s="235"/>
      <c r="FK17" s="235"/>
      <c r="FL17" s="235"/>
      <c r="FM17" s="235"/>
      <c r="FN17" s="235"/>
      <c r="FO17" s="235"/>
      <c r="FP17" s="235"/>
      <c r="FQ17" s="235"/>
      <c r="FR17" s="235"/>
      <c r="FS17" s="235"/>
      <c r="FT17" s="235"/>
      <c r="FU17" s="235"/>
      <c r="FV17" s="235"/>
      <c r="FW17" s="235"/>
      <c r="FX17" s="235"/>
      <c r="FY17" s="235"/>
      <c r="FZ17" s="235"/>
      <c r="GA17" s="235"/>
      <c r="GB17" s="235"/>
      <c r="GC17" s="235"/>
      <c r="GD17" s="235"/>
      <c r="GE17" s="235"/>
      <c r="GF17" s="235"/>
      <c r="GG17" s="235"/>
      <c r="GH17" s="235"/>
      <c r="GI17" s="235"/>
      <c r="GJ17" s="235"/>
      <c r="GK17" s="235"/>
      <c r="GL17" s="235"/>
      <c r="GM17" s="235"/>
      <c r="GN17" s="235"/>
      <c r="GO17" s="235"/>
      <c r="GP17" s="235"/>
      <c r="GQ17" s="235"/>
      <c r="GR17" s="235"/>
      <c r="GS17" s="235"/>
      <c r="GT17" s="235"/>
      <c r="GU17" s="235"/>
      <c r="GV17" s="235"/>
      <c r="GW17" s="235"/>
      <c r="GX17" s="235"/>
      <c r="GY17" s="235"/>
      <c r="GZ17" s="235"/>
      <c r="HA17" s="235"/>
      <c r="HB17" s="235"/>
      <c r="HC17" s="235"/>
      <c r="HD17" s="235"/>
      <c r="HE17" s="235"/>
      <c r="HF17" s="235"/>
      <c r="HG17" s="235"/>
      <c r="HH17" s="235"/>
      <c r="HI17" s="235"/>
      <c r="HJ17" s="235"/>
      <c r="HK17" s="235"/>
      <c r="HL17" s="235"/>
      <c r="HM17" s="235"/>
      <c r="HN17" s="235"/>
      <c r="HO17" s="235"/>
      <c r="HP17" s="235"/>
      <c r="HQ17" s="235"/>
      <c r="HR17" s="235"/>
      <c r="HS17" s="235"/>
      <c r="HT17" s="235"/>
      <c r="HU17" s="235"/>
      <c r="HV17" s="235"/>
      <c r="HW17" s="235"/>
      <c r="HX17" s="235"/>
      <c r="HY17" s="235"/>
      <c r="HZ17" s="235"/>
      <c r="IA17" s="235"/>
      <c r="IB17" s="235"/>
      <c r="IC17" s="235"/>
      <c r="ID17" s="235"/>
      <c r="IE17" s="235"/>
      <c r="IF17" s="235"/>
      <c r="IG17" s="235"/>
      <c r="IH17" s="235"/>
      <c r="II17" s="235"/>
      <c r="IJ17" s="235"/>
      <c r="IK17" s="235"/>
      <c r="IL17" s="235"/>
      <c r="IM17" s="235"/>
      <c r="IN17" s="235"/>
      <c r="IO17" s="235"/>
      <c r="IP17" s="235"/>
      <c r="IQ17" s="235"/>
      <c r="IR17" s="235"/>
      <c r="IS17" s="235"/>
      <c r="IT17" s="235"/>
      <c r="IU17" s="235"/>
      <c r="IV17" s="235"/>
    </row>
    <row r="18" spans="1:256" customFormat="1" ht="14.45" customHeight="1">
      <c r="A18" s="346" t="s">
        <v>106</v>
      </c>
      <c r="B18" s="517">
        <f>60813-51</f>
        <v>60762</v>
      </c>
      <c r="C18" s="338">
        <v>57509</v>
      </c>
      <c r="D18" s="499">
        <f t="shared" si="4"/>
        <v>94.646325005760175</v>
      </c>
      <c r="E18" s="338">
        <v>55115</v>
      </c>
      <c r="F18" s="500">
        <f t="shared" si="5"/>
        <v>4.3436451056881067</v>
      </c>
      <c r="G18" s="235"/>
      <c r="H18" s="456"/>
      <c r="I18" s="338"/>
      <c r="J18" s="342"/>
      <c r="K18" s="338"/>
      <c r="L18" s="338"/>
      <c r="M18" s="342"/>
      <c r="N18" s="527"/>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c r="DD18" s="235"/>
      <c r="DE18" s="235"/>
      <c r="DF18" s="235"/>
      <c r="DG18" s="235"/>
      <c r="DH18" s="235"/>
      <c r="DI18" s="235"/>
      <c r="DJ18" s="235"/>
      <c r="DK18" s="235"/>
      <c r="DL18" s="235"/>
      <c r="DM18" s="235"/>
      <c r="DN18" s="235"/>
      <c r="DO18" s="235"/>
      <c r="DP18" s="235"/>
      <c r="DQ18" s="235"/>
      <c r="DR18" s="235"/>
      <c r="DS18" s="235"/>
      <c r="DT18" s="235"/>
      <c r="DU18" s="235"/>
      <c r="DV18" s="235"/>
      <c r="DW18" s="235"/>
      <c r="DX18" s="235"/>
      <c r="DY18" s="235"/>
      <c r="DZ18" s="235"/>
      <c r="EA18" s="235"/>
      <c r="EB18" s="235"/>
      <c r="EC18" s="235"/>
      <c r="ED18" s="235"/>
      <c r="EE18" s="235"/>
      <c r="EF18" s="235"/>
      <c r="EG18" s="235"/>
      <c r="EH18" s="235"/>
      <c r="EI18" s="235"/>
      <c r="EJ18" s="235"/>
      <c r="EK18" s="235"/>
      <c r="EL18" s="235"/>
      <c r="EM18" s="235"/>
      <c r="EN18" s="235"/>
      <c r="EO18" s="235"/>
      <c r="EP18" s="235"/>
      <c r="EQ18" s="235"/>
      <c r="ER18" s="235"/>
      <c r="ES18" s="235"/>
      <c r="ET18" s="235"/>
      <c r="EU18" s="235"/>
      <c r="EV18" s="235"/>
      <c r="EW18" s="235"/>
      <c r="EX18" s="235"/>
      <c r="EY18" s="235"/>
      <c r="EZ18" s="235"/>
      <c r="FA18" s="235"/>
      <c r="FB18" s="235"/>
      <c r="FC18" s="235"/>
      <c r="FD18" s="235"/>
      <c r="FE18" s="235"/>
      <c r="FF18" s="235"/>
      <c r="FG18" s="235"/>
      <c r="FH18" s="235"/>
      <c r="FI18" s="235"/>
      <c r="FJ18" s="235"/>
      <c r="FK18" s="235"/>
      <c r="FL18" s="235"/>
      <c r="FM18" s="235"/>
      <c r="FN18" s="235"/>
      <c r="FO18" s="235"/>
      <c r="FP18" s="235"/>
      <c r="FQ18" s="235"/>
      <c r="FR18" s="235"/>
      <c r="FS18" s="235"/>
      <c r="FT18" s="235"/>
      <c r="FU18" s="235"/>
      <c r="FV18" s="235"/>
      <c r="FW18" s="235"/>
      <c r="FX18" s="235"/>
      <c r="FY18" s="235"/>
      <c r="FZ18" s="235"/>
      <c r="GA18" s="235"/>
      <c r="GB18" s="235"/>
      <c r="GC18" s="235"/>
      <c r="GD18" s="235"/>
      <c r="GE18" s="235"/>
      <c r="GF18" s="235"/>
      <c r="GG18" s="235"/>
      <c r="GH18" s="235"/>
      <c r="GI18" s="235"/>
      <c r="GJ18" s="235"/>
      <c r="GK18" s="235"/>
      <c r="GL18" s="235"/>
      <c r="GM18" s="235"/>
      <c r="GN18" s="235"/>
      <c r="GO18" s="235"/>
      <c r="GP18" s="235"/>
      <c r="GQ18" s="235"/>
      <c r="GR18" s="235"/>
      <c r="GS18" s="235"/>
      <c r="GT18" s="235"/>
      <c r="GU18" s="235"/>
      <c r="GV18" s="235"/>
      <c r="GW18" s="235"/>
      <c r="GX18" s="235"/>
      <c r="GY18" s="235"/>
      <c r="GZ18" s="235"/>
      <c r="HA18" s="235"/>
      <c r="HB18" s="235"/>
      <c r="HC18" s="235"/>
      <c r="HD18" s="235"/>
      <c r="HE18" s="235"/>
      <c r="HF18" s="235"/>
      <c r="HG18" s="235"/>
      <c r="HH18" s="235"/>
      <c r="HI18" s="235"/>
      <c r="HJ18" s="235"/>
      <c r="HK18" s="235"/>
      <c r="HL18" s="235"/>
      <c r="HM18" s="235"/>
      <c r="HN18" s="235"/>
      <c r="HO18" s="235"/>
      <c r="HP18" s="235"/>
      <c r="HQ18" s="235"/>
      <c r="HR18" s="235"/>
      <c r="HS18" s="235"/>
      <c r="HT18" s="235"/>
      <c r="HU18" s="235"/>
      <c r="HV18" s="235"/>
      <c r="HW18" s="235"/>
      <c r="HX18" s="235"/>
      <c r="HY18" s="235"/>
      <c r="HZ18" s="235"/>
      <c r="IA18" s="235"/>
      <c r="IB18" s="235"/>
      <c r="IC18" s="235"/>
      <c r="ID18" s="235"/>
      <c r="IE18" s="235"/>
      <c r="IF18" s="235"/>
      <c r="IG18" s="235"/>
      <c r="IH18" s="235"/>
      <c r="II18" s="235"/>
      <c r="IJ18" s="235"/>
      <c r="IK18" s="235"/>
      <c r="IL18" s="235"/>
      <c r="IM18" s="235"/>
      <c r="IN18" s="235"/>
      <c r="IO18" s="235"/>
      <c r="IP18" s="235"/>
      <c r="IQ18" s="235"/>
      <c r="IR18" s="235"/>
      <c r="IS18" s="235"/>
      <c r="IT18" s="235"/>
      <c r="IU18" s="235"/>
      <c r="IV18" s="235"/>
    </row>
    <row r="19" spans="1:256" customFormat="1" ht="14.45" customHeight="1">
      <c r="A19" s="346" t="s">
        <v>107</v>
      </c>
      <c r="B19" s="517"/>
      <c r="C19" s="338">
        <v>973</v>
      </c>
      <c r="D19" s="499"/>
      <c r="E19" s="338"/>
      <c r="F19" s="500"/>
      <c r="G19" s="235"/>
      <c r="H19" s="456"/>
      <c r="I19" s="338"/>
      <c r="J19" s="342"/>
      <c r="K19" s="338"/>
      <c r="L19" s="338"/>
      <c r="M19" s="342"/>
      <c r="N19" s="527"/>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c r="DD19" s="235"/>
      <c r="DE19" s="235"/>
      <c r="DF19" s="235"/>
      <c r="DG19" s="235"/>
      <c r="DH19" s="235"/>
      <c r="DI19" s="235"/>
      <c r="DJ19" s="235"/>
      <c r="DK19" s="235"/>
      <c r="DL19" s="235"/>
      <c r="DM19" s="235"/>
      <c r="DN19" s="235"/>
      <c r="DO19" s="235"/>
      <c r="DP19" s="235"/>
      <c r="DQ19" s="235"/>
      <c r="DR19" s="235"/>
      <c r="DS19" s="235"/>
      <c r="DT19" s="235"/>
      <c r="DU19" s="235"/>
      <c r="DV19" s="235"/>
      <c r="DW19" s="235"/>
      <c r="DX19" s="235"/>
      <c r="DY19" s="235"/>
      <c r="DZ19" s="235"/>
      <c r="EA19" s="235"/>
      <c r="EB19" s="235"/>
      <c r="EC19" s="235"/>
      <c r="ED19" s="235"/>
      <c r="EE19" s="235"/>
      <c r="EF19" s="235"/>
      <c r="EG19" s="235"/>
      <c r="EH19" s="235"/>
      <c r="EI19" s="235"/>
      <c r="EJ19" s="235"/>
      <c r="EK19" s="235"/>
      <c r="EL19" s="235"/>
      <c r="EM19" s="235"/>
      <c r="EN19" s="235"/>
      <c r="EO19" s="235"/>
      <c r="EP19" s="235"/>
      <c r="EQ19" s="235"/>
      <c r="ER19" s="235"/>
      <c r="ES19" s="235"/>
      <c r="ET19" s="235"/>
      <c r="EU19" s="235"/>
      <c r="EV19" s="235"/>
      <c r="EW19" s="235"/>
      <c r="EX19" s="235"/>
      <c r="EY19" s="235"/>
      <c r="EZ19" s="235"/>
      <c r="FA19" s="235"/>
      <c r="FB19" s="235"/>
      <c r="FC19" s="235"/>
      <c r="FD19" s="235"/>
      <c r="FE19" s="235"/>
      <c r="FF19" s="235"/>
      <c r="FG19" s="235"/>
      <c r="FH19" s="235"/>
      <c r="FI19" s="235"/>
      <c r="FJ19" s="235"/>
      <c r="FK19" s="235"/>
      <c r="FL19" s="235"/>
      <c r="FM19" s="235"/>
      <c r="FN19" s="235"/>
      <c r="FO19" s="235"/>
      <c r="FP19" s="235"/>
      <c r="FQ19" s="235"/>
      <c r="FR19" s="235"/>
      <c r="FS19" s="235"/>
      <c r="FT19" s="235"/>
      <c r="FU19" s="235"/>
      <c r="FV19" s="235"/>
      <c r="FW19" s="235"/>
      <c r="FX19" s="235"/>
      <c r="FY19" s="235"/>
      <c r="FZ19" s="235"/>
      <c r="GA19" s="235"/>
      <c r="GB19" s="235"/>
      <c r="GC19" s="235"/>
      <c r="GD19" s="235"/>
      <c r="GE19" s="235"/>
      <c r="GF19" s="235"/>
      <c r="GG19" s="235"/>
      <c r="GH19" s="235"/>
      <c r="GI19" s="235"/>
      <c r="GJ19" s="235"/>
      <c r="GK19" s="235"/>
      <c r="GL19" s="235"/>
      <c r="GM19" s="235"/>
      <c r="GN19" s="235"/>
      <c r="GO19" s="235"/>
      <c r="GP19" s="235"/>
      <c r="GQ19" s="235"/>
      <c r="GR19" s="235"/>
      <c r="GS19" s="235"/>
      <c r="GT19" s="235"/>
      <c r="GU19" s="235"/>
      <c r="GV19" s="235"/>
      <c r="GW19" s="235"/>
      <c r="GX19" s="235"/>
      <c r="GY19" s="235"/>
      <c r="GZ19" s="235"/>
      <c r="HA19" s="235"/>
      <c r="HB19" s="235"/>
      <c r="HC19" s="235"/>
      <c r="HD19" s="235"/>
      <c r="HE19" s="235"/>
      <c r="HF19" s="235"/>
      <c r="HG19" s="235"/>
      <c r="HH19" s="235"/>
      <c r="HI19" s="235"/>
      <c r="HJ19" s="235"/>
      <c r="HK19" s="235"/>
      <c r="HL19" s="235"/>
      <c r="HM19" s="235"/>
      <c r="HN19" s="235"/>
      <c r="HO19" s="235"/>
      <c r="HP19" s="235"/>
      <c r="HQ19" s="235"/>
      <c r="HR19" s="235"/>
      <c r="HS19" s="235"/>
      <c r="HT19" s="235"/>
      <c r="HU19" s="235"/>
      <c r="HV19" s="235"/>
      <c r="HW19" s="235"/>
      <c r="HX19" s="235"/>
      <c r="HY19" s="235"/>
      <c r="HZ19" s="235"/>
      <c r="IA19" s="235"/>
      <c r="IB19" s="235"/>
      <c r="IC19" s="235"/>
      <c r="ID19" s="235"/>
      <c r="IE19" s="235"/>
      <c r="IF19" s="235"/>
      <c r="IG19" s="235"/>
      <c r="IH19" s="235"/>
      <c r="II19" s="235"/>
      <c r="IJ19" s="235"/>
      <c r="IK19" s="235"/>
      <c r="IL19" s="235"/>
      <c r="IM19" s="235"/>
      <c r="IN19" s="235"/>
      <c r="IO19" s="235"/>
      <c r="IP19" s="235"/>
      <c r="IQ19" s="235"/>
      <c r="IR19" s="235"/>
      <c r="IS19" s="235"/>
      <c r="IT19" s="235"/>
      <c r="IU19" s="235"/>
      <c r="IV19" s="235"/>
    </row>
    <row r="20" spans="1:256" customFormat="1" ht="14.45" customHeight="1">
      <c r="A20" s="346" t="s">
        <v>108</v>
      </c>
      <c r="B20" s="388">
        <f>SUM(B21:B28)</f>
        <v>263107</v>
      </c>
      <c r="C20" s="338">
        <f>SUM(C21:C28)</f>
        <v>225624</v>
      </c>
      <c r="D20" s="499">
        <f t="shared" ref="D20:D23" si="6">C20/B20*100</f>
        <v>85.753704766501841</v>
      </c>
      <c r="E20" s="338">
        <f>SUM(E21:E28)</f>
        <v>268061</v>
      </c>
      <c r="F20" s="500">
        <f t="shared" ref="F20:F23" si="7">+(C20-E20)/E20*100</f>
        <v>-15.831098145571342</v>
      </c>
      <c r="G20" s="235"/>
      <c r="H20" s="456"/>
      <c r="I20" s="338"/>
      <c r="J20" s="342"/>
      <c r="K20" s="338"/>
      <c r="L20" s="338"/>
      <c r="M20" s="338"/>
      <c r="N20" s="527"/>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c r="DN20" s="235"/>
      <c r="DO20" s="235"/>
      <c r="DP20" s="235"/>
      <c r="DQ20" s="235"/>
      <c r="DR20" s="235"/>
      <c r="DS20" s="235"/>
      <c r="DT20" s="235"/>
      <c r="DU20" s="235"/>
      <c r="DV20" s="235"/>
      <c r="DW20" s="235"/>
      <c r="DX20" s="235"/>
      <c r="DY20" s="235"/>
      <c r="DZ20" s="235"/>
      <c r="EA20" s="235"/>
      <c r="EB20" s="235"/>
      <c r="EC20" s="235"/>
      <c r="ED20" s="235"/>
      <c r="EE20" s="235"/>
      <c r="EF20" s="235"/>
      <c r="EG20" s="235"/>
      <c r="EH20" s="235"/>
      <c r="EI20" s="235"/>
      <c r="EJ20" s="235"/>
      <c r="EK20" s="235"/>
      <c r="EL20" s="235"/>
      <c r="EM20" s="235"/>
      <c r="EN20" s="235"/>
      <c r="EO20" s="235"/>
      <c r="EP20" s="235"/>
      <c r="EQ20" s="235"/>
      <c r="ER20" s="235"/>
      <c r="ES20" s="235"/>
      <c r="ET20" s="235"/>
      <c r="EU20" s="235"/>
      <c r="EV20" s="235"/>
      <c r="EW20" s="235"/>
      <c r="EX20" s="235"/>
      <c r="EY20" s="235"/>
      <c r="EZ20" s="235"/>
      <c r="FA20" s="235"/>
      <c r="FB20" s="235"/>
      <c r="FC20" s="235"/>
      <c r="FD20" s="235"/>
      <c r="FE20" s="235"/>
      <c r="FF20" s="235"/>
      <c r="FG20" s="235"/>
      <c r="FH20" s="235"/>
      <c r="FI20" s="235"/>
      <c r="FJ20" s="235"/>
      <c r="FK20" s="235"/>
      <c r="FL20" s="235"/>
      <c r="FM20" s="235"/>
      <c r="FN20" s="235"/>
      <c r="FO20" s="235"/>
      <c r="FP20" s="235"/>
      <c r="FQ20" s="235"/>
      <c r="FR20" s="235"/>
      <c r="FS20" s="235"/>
      <c r="FT20" s="235"/>
      <c r="FU20" s="235"/>
      <c r="FV20" s="235"/>
      <c r="FW20" s="235"/>
      <c r="FX20" s="235"/>
      <c r="FY20" s="235"/>
      <c r="FZ20" s="235"/>
      <c r="GA20" s="235"/>
      <c r="GB20" s="235"/>
      <c r="GC20" s="235"/>
      <c r="GD20" s="235"/>
      <c r="GE20" s="235"/>
      <c r="GF20" s="235"/>
      <c r="GG20" s="235"/>
      <c r="GH20" s="235"/>
      <c r="GI20" s="235"/>
      <c r="GJ20" s="235"/>
      <c r="GK20" s="235"/>
      <c r="GL20" s="235"/>
      <c r="GM20" s="235"/>
      <c r="GN20" s="235"/>
      <c r="GO20" s="235"/>
      <c r="GP20" s="235"/>
      <c r="GQ20" s="235"/>
      <c r="GR20" s="235"/>
      <c r="GS20" s="235"/>
      <c r="GT20" s="235"/>
      <c r="GU20" s="235"/>
      <c r="GV20" s="235"/>
      <c r="GW20" s="235"/>
      <c r="GX20" s="235"/>
      <c r="GY20" s="235"/>
      <c r="GZ20" s="235"/>
      <c r="HA20" s="235"/>
      <c r="HB20" s="235"/>
      <c r="HC20" s="235"/>
      <c r="HD20" s="235"/>
      <c r="HE20" s="235"/>
      <c r="HF20" s="235"/>
      <c r="HG20" s="235"/>
      <c r="HH20" s="235"/>
      <c r="HI20" s="235"/>
      <c r="HJ20" s="235"/>
      <c r="HK20" s="235"/>
      <c r="HL20" s="235"/>
      <c r="HM20" s="235"/>
      <c r="HN20" s="235"/>
      <c r="HO20" s="235"/>
      <c r="HP20" s="235"/>
      <c r="HQ20" s="235"/>
      <c r="HR20" s="235"/>
      <c r="HS20" s="235"/>
      <c r="HT20" s="235"/>
      <c r="HU20" s="235"/>
      <c r="HV20" s="235"/>
      <c r="HW20" s="235"/>
      <c r="HX20" s="235"/>
      <c r="HY20" s="235"/>
      <c r="HZ20" s="235"/>
      <c r="IA20" s="235"/>
      <c r="IB20" s="235"/>
      <c r="IC20" s="235"/>
      <c r="ID20" s="235"/>
      <c r="IE20" s="235"/>
      <c r="IF20" s="235"/>
      <c r="IG20" s="235"/>
      <c r="IH20" s="235"/>
      <c r="II20" s="235"/>
      <c r="IJ20" s="235"/>
      <c r="IK20" s="235"/>
      <c r="IL20" s="235"/>
      <c r="IM20" s="235"/>
      <c r="IN20" s="235"/>
      <c r="IO20" s="235"/>
      <c r="IP20" s="235"/>
      <c r="IQ20" s="235"/>
      <c r="IR20" s="235"/>
      <c r="IS20" s="235"/>
      <c r="IT20" s="235"/>
      <c r="IU20" s="235"/>
      <c r="IV20" s="235"/>
    </row>
    <row r="21" spans="1:256" customFormat="1" ht="14.45" customHeight="1">
      <c r="A21" s="346" t="s">
        <v>109</v>
      </c>
      <c r="B21" s="517">
        <v>46881</v>
      </c>
      <c r="C21" s="338">
        <v>52988</v>
      </c>
      <c r="D21" s="499">
        <f t="shared" si="6"/>
        <v>113.02659926196112</v>
      </c>
      <c r="E21" s="338">
        <v>47578</v>
      </c>
      <c r="F21" s="500">
        <f t="shared" si="7"/>
        <v>11.370801631005927</v>
      </c>
      <c r="G21" s="235"/>
      <c r="H21" s="456"/>
      <c r="I21" s="338"/>
      <c r="J21" s="342"/>
      <c r="K21" s="338"/>
      <c r="L21" s="338"/>
      <c r="M21" s="342"/>
      <c r="N21" s="527"/>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235"/>
      <c r="BD21" s="235"/>
      <c r="BE21" s="235"/>
      <c r="BF21" s="235"/>
      <c r="BG21" s="235"/>
      <c r="BH21" s="235"/>
      <c r="BI21" s="235"/>
      <c r="BJ21" s="235"/>
      <c r="BK21" s="235"/>
      <c r="BL21" s="235"/>
      <c r="BM21" s="235"/>
      <c r="BN21" s="235"/>
      <c r="BO21" s="235"/>
      <c r="BP21" s="235"/>
      <c r="BQ21" s="235"/>
      <c r="BR21" s="235"/>
      <c r="BS21" s="235"/>
      <c r="BT21" s="235"/>
      <c r="BU21" s="235"/>
      <c r="BV21" s="235"/>
      <c r="BW21" s="235"/>
      <c r="BX21" s="235"/>
      <c r="BY21" s="235"/>
      <c r="BZ21" s="235"/>
      <c r="CA21" s="235"/>
      <c r="CB21" s="235"/>
      <c r="CC21" s="235"/>
      <c r="CD21" s="235"/>
      <c r="CE21" s="235"/>
      <c r="CF21" s="235"/>
      <c r="CG21" s="235"/>
      <c r="CH21" s="235"/>
      <c r="CI21" s="235"/>
      <c r="CJ21" s="235"/>
      <c r="CK21" s="235"/>
      <c r="CL21" s="235"/>
      <c r="CM21" s="235"/>
      <c r="CN21" s="235"/>
      <c r="CO21" s="235"/>
      <c r="CP21" s="235"/>
      <c r="CQ21" s="235"/>
      <c r="CR21" s="235"/>
      <c r="CS21" s="235"/>
      <c r="CT21" s="235"/>
      <c r="CU21" s="235"/>
      <c r="CV21" s="235"/>
      <c r="CW21" s="235"/>
      <c r="CX21" s="235"/>
      <c r="CY21" s="235"/>
      <c r="CZ21" s="235"/>
      <c r="DA21" s="235"/>
      <c r="DB21" s="235"/>
      <c r="DC21" s="235"/>
      <c r="DD21" s="235"/>
      <c r="DE21" s="235"/>
      <c r="DF21" s="235"/>
      <c r="DG21" s="235"/>
      <c r="DH21" s="235"/>
      <c r="DI21" s="235"/>
      <c r="DJ21" s="235"/>
      <c r="DK21" s="235"/>
      <c r="DL21" s="235"/>
      <c r="DM21" s="235"/>
      <c r="DN21" s="235"/>
      <c r="DO21" s="235"/>
      <c r="DP21" s="235"/>
      <c r="DQ21" s="235"/>
      <c r="DR21" s="235"/>
      <c r="DS21" s="235"/>
      <c r="DT21" s="235"/>
      <c r="DU21" s="235"/>
      <c r="DV21" s="235"/>
      <c r="DW21" s="235"/>
      <c r="DX21" s="235"/>
      <c r="DY21" s="235"/>
      <c r="DZ21" s="235"/>
      <c r="EA21" s="235"/>
      <c r="EB21" s="235"/>
      <c r="EC21" s="235"/>
      <c r="ED21" s="235"/>
      <c r="EE21" s="235"/>
      <c r="EF21" s="235"/>
      <c r="EG21" s="235"/>
      <c r="EH21" s="235"/>
      <c r="EI21" s="235"/>
      <c r="EJ21" s="235"/>
      <c r="EK21" s="235"/>
      <c r="EL21" s="235"/>
      <c r="EM21" s="235"/>
      <c r="EN21" s="235"/>
      <c r="EO21" s="235"/>
      <c r="EP21" s="235"/>
      <c r="EQ21" s="235"/>
      <c r="ER21" s="235"/>
      <c r="ES21" s="235"/>
      <c r="ET21" s="235"/>
      <c r="EU21" s="235"/>
      <c r="EV21" s="235"/>
      <c r="EW21" s="235"/>
      <c r="EX21" s="235"/>
      <c r="EY21" s="235"/>
      <c r="EZ21" s="235"/>
      <c r="FA21" s="235"/>
      <c r="FB21" s="235"/>
      <c r="FC21" s="235"/>
      <c r="FD21" s="235"/>
      <c r="FE21" s="235"/>
      <c r="FF21" s="235"/>
      <c r="FG21" s="235"/>
      <c r="FH21" s="235"/>
      <c r="FI21" s="235"/>
      <c r="FJ21" s="235"/>
      <c r="FK21" s="235"/>
      <c r="FL21" s="235"/>
      <c r="FM21" s="235"/>
      <c r="FN21" s="235"/>
      <c r="FO21" s="235"/>
      <c r="FP21" s="235"/>
      <c r="FQ21" s="235"/>
      <c r="FR21" s="235"/>
      <c r="FS21" s="235"/>
      <c r="FT21" s="235"/>
      <c r="FU21" s="235"/>
      <c r="FV21" s="235"/>
      <c r="FW21" s="235"/>
      <c r="FX21" s="235"/>
      <c r="FY21" s="235"/>
      <c r="FZ21" s="235"/>
      <c r="GA21" s="235"/>
      <c r="GB21" s="235"/>
      <c r="GC21" s="235"/>
      <c r="GD21" s="235"/>
      <c r="GE21" s="235"/>
      <c r="GF21" s="235"/>
      <c r="GG21" s="235"/>
      <c r="GH21" s="235"/>
      <c r="GI21" s="235"/>
      <c r="GJ21" s="235"/>
      <c r="GK21" s="235"/>
      <c r="GL21" s="235"/>
      <c r="GM21" s="235"/>
      <c r="GN21" s="235"/>
      <c r="GO21" s="235"/>
      <c r="GP21" s="235"/>
      <c r="GQ21" s="235"/>
      <c r="GR21" s="235"/>
      <c r="GS21" s="235"/>
      <c r="GT21" s="235"/>
      <c r="GU21" s="235"/>
      <c r="GV21" s="235"/>
      <c r="GW21" s="235"/>
      <c r="GX21" s="235"/>
      <c r="GY21" s="235"/>
      <c r="GZ21" s="235"/>
      <c r="HA21" s="235"/>
      <c r="HB21" s="235"/>
      <c r="HC21" s="235"/>
      <c r="HD21" s="235"/>
      <c r="HE21" s="235"/>
      <c r="HF21" s="235"/>
      <c r="HG21" s="235"/>
      <c r="HH21" s="235"/>
      <c r="HI21" s="235"/>
      <c r="HJ21" s="235"/>
      <c r="HK21" s="235"/>
      <c r="HL21" s="235"/>
      <c r="HM21" s="235"/>
      <c r="HN21" s="235"/>
      <c r="HO21" s="235"/>
      <c r="HP21" s="235"/>
      <c r="HQ21" s="235"/>
      <c r="HR21" s="235"/>
      <c r="HS21" s="235"/>
      <c r="HT21" s="235"/>
      <c r="HU21" s="235"/>
      <c r="HV21" s="235"/>
      <c r="HW21" s="235"/>
      <c r="HX21" s="235"/>
      <c r="HY21" s="235"/>
      <c r="HZ21" s="235"/>
      <c r="IA21" s="235"/>
      <c r="IB21" s="235"/>
      <c r="IC21" s="235"/>
      <c r="ID21" s="235"/>
      <c r="IE21" s="235"/>
      <c r="IF21" s="235"/>
      <c r="IG21" s="235"/>
      <c r="IH21" s="235"/>
      <c r="II21" s="235"/>
      <c r="IJ21" s="235"/>
      <c r="IK21" s="235"/>
      <c r="IL21" s="235"/>
      <c r="IM21" s="235"/>
      <c r="IN21" s="235"/>
      <c r="IO21" s="235"/>
      <c r="IP21" s="235"/>
      <c r="IQ21" s="235"/>
      <c r="IR21" s="235"/>
      <c r="IS21" s="235"/>
      <c r="IT21" s="235"/>
      <c r="IU21" s="235"/>
      <c r="IV21" s="235"/>
    </row>
    <row r="22" spans="1:256" customFormat="1" ht="14.45" customHeight="1">
      <c r="A22" s="346" t="s">
        <v>110</v>
      </c>
      <c r="B22" s="517">
        <f>44556+5895</f>
        <v>50451</v>
      </c>
      <c r="C22" s="338">
        <v>35550</v>
      </c>
      <c r="D22" s="499">
        <f t="shared" si="6"/>
        <v>70.464411012665749</v>
      </c>
      <c r="E22" s="338">
        <v>43809</v>
      </c>
      <c r="F22" s="500">
        <f t="shared" si="7"/>
        <v>-18.852290625213996</v>
      </c>
      <c r="G22" s="235"/>
      <c r="H22" s="456"/>
      <c r="I22" s="338"/>
      <c r="J22" s="342"/>
      <c r="K22" s="338"/>
      <c r="L22" s="338"/>
      <c r="M22" s="342"/>
      <c r="N22" s="527"/>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35"/>
      <c r="CK22" s="235"/>
      <c r="CL22" s="235"/>
      <c r="CM22" s="235"/>
      <c r="CN22" s="235"/>
      <c r="CO22" s="235"/>
      <c r="CP22" s="235"/>
      <c r="CQ22" s="235"/>
      <c r="CR22" s="235"/>
      <c r="CS22" s="235"/>
      <c r="CT22" s="235"/>
      <c r="CU22" s="235"/>
      <c r="CV22" s="235"/>
      <c r="CW22" s="235"/>
      <c r="CX22" s="235"/>
      <c r="CY22" s="235"/>
      <c r="CZ22" s="235"/>
      <c r="DA22" s="235"/>
      <c r="DB22" s="235"/>
      <c r="DC22" s="235"/>
      <c r="DD22" s="235"/>
      <c r="DE22" s="235"/>
      <c r="DF22" s="235"/>
      <c r="DG22" s="235"/>
      <c r="DH22" s="235"/>
      <c r="DI22" s="235"/>
      <c r="DJ22" s="235"/>
      <c r="DK22" s="235"/>
      <c r="DL22" s="235"/>
      <c r="DM22" s="235"/>
      <c r="DN22" s="235"/>
      <c r="DO22" s="235"/>
      <c r="DP22" s="235"/>
      <c r="DQ22" s="235"/>
      <c r="DR22" s="235"/>
      <c r="DS22" s="235"/>
      <c r="DT22" s="235"/>
      <c r="DU22" s="235"/>
      <c r="DV22" s="235"/>
      <c r="DW22" s="235"/>
      <c r="DX22" s="235"/>
      <c r="DY22" s="235"/>
      <c r="DZ22" s="235"/>
      <c r="EA22" s="235"/>
      <c r="EB22" s="235"/>
      <c r="EC22" s="235"/>
      <c r="ED22" s="235"/>
      <c r="EE22" s="235"/>
      <c r="EF22" s="235"/>
      <c r="EG22" s="235"/>
      <c r="EH22" s="235"/>
      <c r="EI22" s="235"/>
      <c r="EJ22" s="235"/>
      <c r="EK22" s="235"/>
      <c r="EL22" s="235"/>
      <c r="EM22" s="235"/>
      <c r="EN22" s="235"/>
      <c r="EO22" s="235"/>
      <c r="EP22" s="235"/>
      <c r="EQ22" s="235"/>
      <c r="ER22" s="235"/>
      <c r="ES22" s="235"/>
      <c r="ET22" s="235"/>
      <c r="EU22" s="235"/>
      <c r="EV22" s="235"/>
      <c r="EW22" s="235"/>
      <c r="EX22" s="235"/>
      <c r="EY22" s="235"/>
      <c r="EZ22" s="235"/>
      <c r="FA22" s="235"/>
      <c r="FB22" s="235"/>
      <c r="FC22" s="235"/>
      <c r="FD22" s="235"/>
      <c r="FE22" s="235"/>
      <c r="FF22" s="235"/>
      <c r="FG22" s="235"/>
      <c r="FH22" s="235"/>
      <c r="FI22" s="235"/>
      <c r="FJ22" s="235"/>
      <c r="FK22" s="235"/>
      <c r="FL22" s="235"/>
      <c r="FM22" s="235"/>
      <c r="FN22" s="235"/>
      <c r="FO22" s="235"/>
      <c r="FP22" s="235"/>
      <c r="FQ22" s="235"/>
      <c r="FR22" s="235"/>
      <c r="FS22" s="235"/>
      <c r="FT22" s="235"/>
      <c r="FU22" s="235"/>
      <c r="FV22" s="235"/>
      <c r="FW22" s="235"/>
      <c r="FX22" s="235"/>
      <c r="FY22" s="235"/>
      <c r="FZ22" s="235"/>
      <c r="GA22" s="235"/>
      <c r="GB22" s="235"/>
      <c r="GC22" s="235"/>
      <c r="GD22" s="235"/>
      <c r="GE22" s="235"/>
      <c r="GF22" s="235"/>
      <c r="GG22" s="235"/>
      <c r="GH22" s="235"/>
      <c r="GI22" s="235"/>
      <c r="GJ22" s="235"/>
      <c r="GK22" s="235"/>
      <c r="GL22" s="235"/>
      <c r="GM22" s="235"/>
      <c r="GN22" s="235"/>
      <c r="GO22" s="235"/>
      <c r="GP22" s="235"/>
      <c r="GQ22" s="235"/>
      <c r="GR22" s="235"/>
      <c r="GS22" s="235"/>
      <c r="GT22" s="235"/>
      <c r="GU22" s="235"/>
      <c r="GV22" s="235"/>
      <c r="GW22" s="235"/>
      <c r="GX22" s="235"/>
      <c r="GY22" s="235"/>
      <c r="GZ22" s="235"/>
      <c r="HA22" s="235"/>
      <c r="HB22" s="235"/>
      <c r="HC22" s="235"/>
      <c r="HD22" s="235"/>
      <c r="HE22" s="235"/>
      <c r="HF22" s="235"/>
      <c r="HG22" s="235"/>
      <c r="HH22" s="235"/>
      <c r="HI22" s="235"/>
      <c r="HJ22" s="235"/>
      <c r="HK22" s="235"/>
      <c r="HL22" s="235"/>
      <c r="HM22" s="235"/>
      <c r="HN22" s="235"/>
      <c r="HO22" s="235"/>
      <c r="HP22" s="235"/>
      <c r="HQ22" s="235"/>
      <c r="HR22" s="235"/>
      <c r="HS22" s="235"/>
      <c r="HT22" s="235"/>
      <c r="HU22" s="235"/>
      <c r="HV22" s="235"/>
      <c r="HW22" s="235"/>
      <c r="HX22" s="235"/>
      <c r="HY22" s="235"/>
      <c r="HZ22" s="235"/>
      <c r="IA22" s="235"/>
      <c r="IB22" s="235"/>
      <c r="IC22" s="235"/>
      <c r="ID22" s="235"/>
      <c r="IE22" s="235"/>
      <c r="IF22" s="235"/>
      <c r="IG22" s="235"/>
      <c r="IH22" s="235"/>
      <c r="II22" s="235"/>
      <c r="IJ22" s="235"/>
      <c r="IK22" s="235"/>
      <c r="IL22" s="235"/>
      <c r="IM22" s="235"/>
      <c r="IN22" s="235"/>
      <c r="IO22" s="235"/>
      <c r="IP22" s="235"/>
      <c r="IQ22" s="235"/>
      <c r="IR22" s="235"/>
      <c r="IS22" s="235"/>
      <c r="IT22" s="235"/>
      <c r="IU22" s="235"/>
      <c r="IV22" s="235"/>
    </row>
    <row r="23" spans="1:256" customFormat="1" ht="14.45" customHeight="1">
      <c r="A23" s="346" t="s">
        <v>111</v>
      </c>
      <c r="B23" s="517">
        <v>40980</v>
      </c>
      <c r="C23" s="338">
        <v>54875</v>
      </c>
      <c r="D23" s="499">
        <f t="shared" si="6"/>
        <v>133.90678379697414</v>
      </c>
      <c r="E23" s="338">
        <v>39306</v>
      </c>
      <c r="F23" s="500">
        <f t="shared" si="7"/>
        <v>39.609728794586069</v>
      </c>
      <c r="G23" s="518"/>
      <c r="H23" s="456"/>
      <c r="I23" s="338"/>
      <c r="J23" s="342"/>
      <c r="K23" s="338"/>
      <c r="L23" s="338"/>
      <c r="M23" s="342"/>
      <c r="N23" s="527"/>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5"/>
      <c r="BO23" s="235"/>
      <c r="BP23" s="235"/>
      <c r="BQ23" s="235"/>
      <c r="BR23" s="235"/>
      <c r="BS23" s="235"/>
      <c r="BT23" s="235"/>
      <c r="BU23" s="235"/>
      <c r="BV23" s="235"/>
      <c r="BW23" s="235"/>
      <c r="BX23" s="235"/>
      <c r="BY23" s="235"/>
      <c r="BZ23" s="235"/>
      <c r="CA23" s="235"/>
      <c r="CB23" s="235"/>
      <c r="CC23" s="235"/>
      <c r="CD23" s="235"/>
      <c r="CE23" s="235"/>
      <c r="CF23" s="235"/>
      <c r="CG23" s="235"/>
      <c r="CH23" s="235"/>
      <c r="CI23" s="235"/>
      <c r="CJ23" s="235"/>
      <c r="CK23" s="235"/>
      <c r="CL23" s="235"/>
      <c r="CM23" s="235"/>
      <c r="CN23" s="235"/>
      <c r="CO23" s="235"/>
      <c r="CP23" s="235"/>
      <c r="CQ23" s="235"/>
      <c r="CR23" s="235"/>
      <c r="CS23" s="235"/>
      <c r="CT23" s="235"/>
      <c r="CU23" s="235"/>
      <c r="CV23" s="235"/>
      <c r="CW23" s="235"/>
      <c r="CX23" s="235"/>
      <c r="CY23" s="235"/>
      <c r="CZ23" s="235"/>
      <c r="DA23" s="235"/>
      <c r="DB23" s="235"/>
      <c r="DC23" s="235"/>
      <c r="DD23" s="235"/>
      <c r="DE23" s="235"/>
      <c r="DF23" s="235"/>
      <c r="DG23" s="235"/>
      <c r="DH23" s="235"/>
      <c r="DI23" s="235"/>
      <c r="DJ23" s="235"/>
      <c r="DK23" s="235"/>
      <c r="DL23" s="235"/>
      <c r="DM23" s="235"/>
      <c r="DN23" s="235"/>
      <c r="DO23" s="235"/>
      <c r="DP23" s="235"/>
      <c r="DQ23" s="235"/>
      <c r="DR23" s="235"/>
      <c r="DS23" s="235"/>
      <c r="DT23" s="235"/>
      <c r="DU23" s="235"/>
      <c r="DV23" s="235"/>
      <c r="DW23" s="235"/>
      <c r="DX23" s="235"/>
      <c r="DY23" s="235"/>
      <c r="DZ23" s="235"/>
      <c r="EA23" s="235"/>
      <c r="EB23" s="235"/>
      <c r="EC23" s="235"/>
      <c r="ED23" s="235"/>
      <c r="EE23" s="235"/>
      <c r="EF23" s="235"/>
      <c r="EG23" s="235"/>
      <c r="EH23" s="235"/>
      <c r="EI23" s="235"/>
      <c r="EJ23" s="235"/>
      <c r="EK23" s="235"/>
      <c r="EL23" s="235"/>
      <c r="EM23" s="235"/>
      <c r="EN23" s="235"/>
      <c r="EO23" s="235"/>
      <c r="EP23" s="235"/>
      <c r="EQ23" s="235"/>
      <c r="ER23" s="235"/>
      <c r="ES23" s="235"/>
      <c r="ET23" s="235"/>
      <c r="EU23" s="235"/>
      <c r="EV23" s="235"/>
      <c r="EW23" s="235"/>
      <c r="EX23" s="235"/>
      <c r="EY23" s="235"/>
      <c r="EZ23" s="235"/>
      <c r="FA23" s="235"/>
      <c r="FB23" s="235"/>
      <c r="FC23" s="235"/>
      <c r="FD23" s="235"/>
      <c r="FE23" s="235"/>
      <c r="FF23" s="235"/>
      <c r="FG23" s="235"/>
      <c r="FH23" s="235"/>
      <c r="FI23" s="235"/>
      <c r="FJ23" s="235"/>
      <c r="FK23" s="235"/>
      <c r="FL23" s="235"/>
      <c r="FM23" s="235"/>
      <c r="FN23" s="235"/>
      <c r="FO23" s="235"/>
      <c r="FP23" s="235"/>
      <c r="FQ23" s="235"/>
      <c r="FR23" s="235"/>
      <c r="FS23" s="235"/>
      <c r="FT23" s="235"/>
      <c r="FU23" s="235"/>
      <c r="FV23" s="235"/>
      <c r="FW23" s="235"/>
      <c r="FX23" s="235"/>
      <c r="FY23" s="235"/>
      <c r="FZ23" s="235"/>
      <c r="GA23" s="235"/>
      <c r="GB23" s="235"/>
      <c r="GC23" s="235"/>
      <c r="GD23" s="235"/>
      <c r="GE23" s="235"/>
      <c r="GF23" s="235"/>
      <c r="GG23" s="235"/>
      <c r="GH23" s="235"/>
      <c r="GI23" s="235"/>
      <c r="GJ23" s="235"/>
      <c r="GK23" s="235"/>
      <c r="GL23" s="235"/>
      <c r="GM23" s="235"/>
      <c r="GN23" s="235"/>
      <c r="GO23" s="235"/>
      <c r="GP23" s="235"/>
      <c r="GQ23" s="235"/>
      <c r="GR23" s="235"/>
      <c r="GS23" s="235"/>
      <c r="GT23" s="235"/>
      <c r="GU23" s="235"/>
      <c r="GV23" s="235"/>
      <c r="GW23" s="235"/>
      <c r="GX23" s="235"/>
      <c r="GY23" s="235"/>
      <c r="GZ23" s="235"/>
      <c r="HA23" s="235"/>
      <c r="HB23" s="235"/>
      <c r="HC23" s="235"/>
      <c r="HD23" s="235"/>
      <c r="HE23" s="235"/>
      <c r="HF23" s="235"/>
      <c r="HG23" s="235"/>
      <c r="HH23" s="235"/>
      <c r="HI23" s="235"/>
      <c r="HJ23" s="235"/>
      <c r="HK23" s="235"/>
      <c r="HL23" s="235"/>
      <c r="HM23" s="235"/>
      <c r="HN23" s="235"/>
      <c r="HO23" s="235"/>
      <c r="HP23" s="235"/>
      <c r="HQ23" s="235"/>
      <c r="HR23" s="235"/>
      <c r="HS23" s="235"/>
      <c r="HT23" s="235"/>
      <c r="HU23" s="235"/>
      <c r="HV23" s="235"/>
      <c r="HW23" s="235"/>
      <c r="HX23" s="235"/>
      <c r="HY23" s="235"/>
      <c r="HZ23" s="235"/>
      <c r="IA23" s="235"/>
      <c r="IB23" s="235"/>
      <c r="IC23" s="235"/>
      <c r="ID23" s="235"/>
      <c r="IE23" s="235"/>
      <c r="IF23" s="235"/>
      <c r="IG23" s="235"/>
      <c r="IH23" s="235"/>
      <c r="II23" s="235"/>
      <c r="IJ23" s="235"/>
      <c r="IK23" s="235"/>
      <c r="IL23" s="235"/>
      <c r="IM23" s="235"/>
      <c r="IN23" s="235"/>
      <c r="IO23" s="235"/>
      <c r="IP23" s="235"/>
      <c r="IQ23" s="235"/>
      <c r="IR23" s="235"/>
      <c r="IS23" s="235"/>
      <c r="IT23" s="235"/>
      <c r="IU23" s="235"/>
      <c r="IV23" s="235"/>
    </row>
    <row r="24" spans="1:256" customFormat="1" ht="14.45" customHeight="1">
      <c r="A24" s="346" t="s">
        <v>112</v>
      </c>
      <c r="B24" s="517">
        <v>0</v>
      </c>
      <c r="C24" s="338"/>
      <c r="D24" s="499"/>
      <c r="E24" s="338"/>
      <c r="F24" s="500"/>
      <c r="G24" s="518"/>
      <c r="H24" s="456"/>
      <c r="I24" s="338"/>
      <c r="J24" s="342"/>
      <c r="K24" s="338"/>
      <c r="L24" s="338"/>
      <c r="M24" s="342"/>
      <c r="N24" s="527"/>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c r="BO24" s="235"/>
      <c r="BP24" s="235"/>
      <c r="BQ24" s="235"/>
      <c r="BR24" s="235"/>
      <c r="BS24" s="235"/>
      <c r="BT24" s="235"/>
      <c r="BU24" s="235"/>
      <c r="BV24" s="235"/>
      <c r="BW24" s="235"/>
      <c r="BX24" s="235"/>
      <c r="BY24" s="235"/>
      <c r="BZ24" s="235"/>
      <c r="CA24" s="235"/>
      <c r="CB24" s="235"/>
      <c r="CC24" s="235"/>
      <c r="CD24" s="235"/>
      <c r="CE24" s="235"/>
      <c r="CF24" s="235"/>
      <c r="CG24" s="235"/>
      <c r="CH24" s="235"/>
      <c r="CI24" s="235"/>
      <c r="CJ24" s="235"/>
      <c r="CK24" s="235"/>
      <c r="CL24" s="235"/>
      <c r="CM24" s="235"/>
      <c r="CN24" s="235"/>
      <c r="CO24" s="235"/>
      <c r="CP24" s="235"/>
      <c r="CQ24" s="235"/>
      <c r="CR24" s="235"/>
      <c r="CS24" s="235"/>
      <c r="CT24" s="235"/>
      <c r="CU24" s="235"/>
      <c r="CV24" s="235"/>
      <c r="CW24" s="235"/>
      <c r="CX24" s="235"/>
      <c r="CY24" s="235"/>
      <c r="CZ24" s="235"/>
      <c r="DA24" s="235"/>
      <c r="DB24" s="235"/>
      <c r="DC24" s="235"/>
      <c r="DD24" s="235"/>
      <c r="DE24" s="235"/>
      <c r="DF24" s="235"/>
      <c r="DG24" s="235"/>
      <c r="DH24" s="235"/>
      <c r="DI24" s="235"/>
      <c r="DJ24" s="235"/>
      <c r="DK24" s="235"/>
      <c r="DL24" s="235"/>
      <c r="DM24" s="235"/>
      <c r="DN24" s="235"/>
      <c r="DO24" s="235"/>
      <c r="DP24" s="235"/>
      <c r="DQ24" s="235"/>
      <c r="DR24" s="235"/>
      <c r="DS24" s="235"/>
      <c r="DT24" s="235"/>
      <c r="DU24" s="235"/>
      <c r="DV24" s="235"/>
      <c r="DW24" s="235"/>
      <c r="DX24" s="235"/>
      <c r="DY24" s="235"/>
      <c r="DZ24" s="235"/>
      <c r="EA24" s="235"/>
      <c r="EB24" s="235"/>
      <c r="EC24" s="235"/>
      <c r="ED24" s="235"/>
      <c r="EE24" s="235"/>
      <c r="EF24" s="235"/>
      <c r="EG24" s="235"/>
      <c r="EH24" s="235"/>
      <c r="EI24" s="235"/>
      <c r="EJ24" s="235"/>
      <c r="EK24" s="235"/>
      <c r="EL24" s="235"/>
      <c r="EM24" s="235"/>
      <c r="EN24" s="235"/>
      <c r="EO24" s="235"/>
      <c r="EP24" s="235"/>
      <c r="EQ24" s="235"/>
      <c r="ER24" s="235"/>
      <c r="ES24" s="235"/>
      <c r="ET24" s="235"/>
      <c r="EU24" s="235"/>
      <c r="EV24" s="235"/>
      <c r="EW24" s="235"/>
      <c r="EX24" s="235"/>
      <c r="EY24" s="235"/>
      <c r="EZ24" s="235"/>
      <c r="FA24" s="235"/>
      <c r="FB24" s="235"/>
      <c r="FC24" s="235"/>
      <c r="FD24" s="235"/>
      <c r="FE24" s="235"/>
      <c r="FF24" s="235"/>
      <c r="FG24" s="235"/>
      <c r="FH24" s="235"/>
      <c r="FI24" s="235"/>
      <c r="FJ24" s="235"/>
      <c r="FK24" s="235"/>
      <c r="FL24" s="235"/>
      <c r="FM24" s="235"/>
      <c r="FN24" s="235"/>
      <c r="FO24" s="235"/>
      <c r="FP24" s="235"/>
      <c r="FQ24" s="235"/>
      <c r="FR24" s="235"/>
      <c r="FS24" s="235"/>
      <c r="FT24" s="235"/>
      <c r="FU24" s="235"/>
      <c r="FV24" s="235"/>
      <c r="FW24" s="235"/>
      <c r="FX24" s="235"/>
      <c r="FY24" s="235"/>
      <c r="FZ24" s="235"/>
      <c r="GA24" s="235"/>
      <c r="GB24" s="235"/>
      <c r="GC24" s="235"/>
      <c r="GD24" s="235"/>
      <c r="GE24" s="235"/>
      <c r="GF24" s="235"/>
      <c r="GG24" s="235"/>
      <c r="GH24" s="235"/>
      <c r="GI24" s="235"/>
      <c r="GJ24" s="235"/>
      <c r="GK24" s="235"/>
      <c r="GL24" s="235"/>
      <c r="GM24" s="235"/>
      <c r="GN24" s="235"/>
      <c r="GO24" s="235"/>
      <c r="GP24" s="235"/>
      <c r="GQ24" s="235"/>
      <c r="GR24" s="235"/>
      <c r="GS24" s="235"/>
      <c r="GT24" s="235"/>
      <c r="GU24" s="235"/>
      <c r="GV24" s="235"/>
      <c r="GW24" s="235"/>
      <c r="GX24" s="235"/>
      <c r="GY24" s="235"/>
      <c r="GZ24" s="235"/>
      <c r="HA24" s="235"/>
      <c r="HB24" s="235"/>
      <c r="HC24" s="235"/>
      <c r="HD24" s="235"/>
      <c r="HE24" s="235"/>
      <c r="HF24" s="235"/>
      <c r="HG24" s="235"/>
      <c r="HH24" s="235"/>
      <c r="HI24" s="235"/>
      <c r="HJ24" s="235"/>
      <c r="HK24" s="235"/>
      <c r="HL24" s="235"/>
      <c r="HM24" s="235"/>
      <c r="HN24" s="235"/>
      <c r="HO24" s="235"/>
      <c r="HP24" s="235"/>
      <c r="HQ24" s="235"/>
      <c r="HR24" s="235"/>
      <c r="HS24" s="235"/>
      <c r="HT24" s="235"/>
      <c r="HU24" s="235"/>
      <c r="HV24" s="235"/>
      <c r="HW24" s="235"/>
      <c r="HX24" s="235"/>
      <c r="HY24" s="235"/>
      <c r="HZ24" s="235"/>
      <c r="IA24" s="235"/>
      <c r="IB24" s="235"/>
      <c r="IC24" s="235"/>
      <c r="ID24" s="235"/>
      <c r="IE24" s="235"/>
      <c r="IF24" s="235"/>
      <c r="IG24" s="235"/>
      <c r="IH24" s="235"/>
      <c r="II24" s="235"/>
      <c r="IJ24" s="235"/>
      <c r="IK24" s="235"/>
      <c r="IL24" s="235"/>
      <c r="IM24" s="235"/>
      <c r="IN24" s="235"/>
      <c r="IO24" s="235"/>
      <c r="IP24" s="235"/>
      <c r="IQ24" s="235"/>
      <c r="IR24" s="235"/>
      <c r="IS24" s="235"/>
      <c r="IT24" s="235"/>
      <c r="IU24" s="235"/>
      <c r="IV24" s="235"/>
    </row>
    <row r="25" spans="1:256" customFormat="1" ht="14.45" customHeight="1">
      <c r="A25" s="346" t="s">
        <v>113</v>
      </c>
      <c r="B25" s="517">
        <v>104576</v>
      </c>
      <c r="C25" s="338">
        <v>57394</v>
      </c>
      <c r="D25" s="499">
        <f>C25/B25*100</f>
        <v>54.882573439412482</v>
      </c>
      <c r="E25" s="338">
        <v>109631</v>
      </c>
      <c r="F25" s="500">
        <f t="shared" ref="F25" si="8">+(C25-E25)/E25*100</f>
        <v>-47.648019264624061</v>
      </c>
      <c r="G25" s="235"/>
      <c r="H25" s="456"/>
      <c r="I25" s="338"/>
      <c r="J25" s="342"/>
      <c r="K25" s="338"/>
      <c r="L25" s="338"/>
      <c r="M25" s="342"/>
      <c r="N25" s="527"/>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235"/>
      <c r="AZ25" s="235"/>
      <c r="BA25" s="235"/>
      <c r="BB25" s="235"/>
      <c r="BC25" s="235"/>
      <c r="BD25" s="235"/>
      <c r="BE25" s="235"/>
      <c r="BF25" s="235"/>
      <c r="BG25" s="235"/>
      <c r="BH25" s="235"/>
      <c r="BI25" s="235"/>
      <c r="BJ25" s="235"/>
      <c r="BK25" s="235"/>
      <c r="BL25" s="235"/>
      <c r="BM25" s="235"/>
      <c r="BN25" s="235"/>
      <c r="BO25" s="235"/>
      <c r="BP25" s="235"/>
      <c r="BQ25" s="235"/>
      <c r="BR25" s="235"/>
      <c r="BS25" s="235"/>
      <c r="BT25" s="235"/>
      <c r="BU25" s="235"/>
      <c r="BV25" s="235"/>
      <c r="BW25" s="235"/>
      <c r="BX25" s="235"/>
      <c r="BY25" s="235"/>
      <c r="BZ25" s="235"/>
      <c r="CA25" s="235"/>
      <c r="CB25" s="235"/>
      <c r="CC25" s="235"/>
      <c r="CD25" s="235"/>
      <c r="CE25" s="235"/>
      <c r="CF25" s="235"/>
      <c r="CG25" s="235"/>
      <c r="CH25" s="235"/>
      <c r="CI25" s="235"/>
      <c r="CJ25" s="235"/>
      <c r="CK25" s="235"/>
      <c r="CL25" s="235"/>
      <c r="CM25" s="235"/>
      <c r="CN25" s="235"/>
      <c r="CO25" s="235"/>
      <c r="CP25" s="235"/>
      <c r="CQ25" s="235"/>
      <c r="CR25" s="235"/>
      <c r="CS25" s="235"/>
      <c r="CT25" s="235"/>
      <c r="CU25" s="235"/>
      <c r="CV25" s="235"/>
      <c r="CW25" s="235"/>
      <c r="CX25" s="235"/>
      <c r="CY25" s="235"/>
      <c r="CZ25" s="235"/>
      <c r="DA25" s="235"/>
      <c r="DB25" s="235"/>
      <c r="DC25" s="235"/>
      <c r="DD25" s="235"/>
      <c r="DE25" s="235"/>
      <c r="DF25" s="235"/>
      <c r="DG25" s="235"/>
      <c r="DH25" s="235"/>
      <c r="DI25" s="235"/>
      <c r="DJ25" s="235"/>
      <c r="DK25" s="235"/>
      <c r="DL25" s="235"/>
      <c r="DM25" s="235"/>
      <c r="DN25" s="235"/>
      <c r="DO25" s="235"/>
      <c r="DP25" s="235"/>
      <c r="DQ25" s="235"/>
      <c r="DR25" s="235"/>
      <c r="DS25" s="235"/>
      <c r="DT25" s="235"/>
      <c r="DU25" s="235"/>
      <c r="DV25" s="235"/>
      <c r="DW25" s="235"/>
      <c r="DX25" s="235"/>
      <c r="DY25" s="235"/>
      <c r="DZ25" s="235"/>
      <c r="EA25" s="235"/>
      <c r="EB25" s="235"/>
      <c r="EC25" s="235"/>
      <c r="ED25" s="235"/>
      <c r="EE25" s="235"/>
      <c r="EF25" s="235"/>
      <c r="EG25" s="235"/>
      <c r="EH25" s="235"/>
      <c r="EI25" s="235"/>
      <c r="EJ25" s="235"/>
      <c r="EK25" s="235"/>
      <c r="EL25" s="235"/>
      <c r="EM25" s="235"/>
      <c r="EN25" s="235"/>
      <c r="EO25" s="235"/>
      <c r="EP25" s="235"/>
      <c r="EQ25" s="235"/>
      <c r="ER25" s="235"/>
      <c r="ES25" s="235"/>
      <c r="ET25" s="235"/>
      <c r="EU25" s="235"/>
      <c r="EV25" s="235"/>
      <c r="EW25" s="235"/>
      <c r="EX25" s="235"/>
      <c r="EY25" s="235"/>
      <c r="EZ25" s="235"/>
      <c r="FA25" s="235"/>
      <c r="FB25" s="235"/>
      <c r="FC25" s="235"/>
      <c r="FD25" s="235"/>
      <c r="FE25" s="235"/>
      <c r="FF25" s="235"/>
      <c r="FG25" s="235"/>
      <c r="FH25" s="235"/>
      <c r="FI25" s="235"/>
      <c r="FJ25" s="235"/>
      <c r="FK25" s="235"/>
      <c r="FL25" s="235"/>
      <c r="FM25" s="235"/>
      <c r="FN25" s="235"/>
      <c r="FO25" s="235"/>
      <c r="FP25" s="235"/>
      <c r="FQ25" s="235"/>
      <c r="FR25" s="235"/>
      <c r="FS25" s="235"/>
      <c r="FT25" s="235"/>
      <c r="FU25" s="235"/>
      <c r="FV25" s="235"/>
      <c r="FW25" s="235"/>
      <c r="FX25" s="235"/>
      <c r="FY25" s="235"/>
      <c r="FZ25" s="235"/>
      <c r="GA25" s="235"/>
      <c r="GB25" s="235"/>
      <c r="GC25" s="235"/>
      <c r="GD25" s="235"/>
      <c r="GE25" s="235"/>
      <c r="GF25" s="235"/>
      <c r="GG25" s="235"/>
      <c r="GH25" s="235"/>
      <c r="GI25" s="235"/>
      <c r="GJ25" s="235"/>
      <c r="GK25" s="235"/>
      <c r="GL25" s="235"/>
      <c r="GM25" s="235"/>
      <c r="GN25" s="235"/>
      <c r="GO25" s="235"/>
      <c r="GP25" s="235"/>
      <c r="GQ25" s="235"/>
      <c r="GR25" s="235"/>
      <c r="GS25" s="235"/>
      <c r="GT25" s="235"/>
      <c r="GU25" s="235"/>
      <c r="GV25" s="235"/>
      <c r="GW25" s="235"/>
      <c r="GX25" s="235"/>
      <c r="GY25" s="235"/>
      <c r="GZ25" s="235"/>
      <c r="HA25" s="235"/>
      <c r="HB25" s="235"/>
      <c r="HC25" s="235"/>
      <c r="HD25" s="235"/>
      <c r="HE25" s="235"/>
      <c r="HF25" s="235"/>
      <c r="HG25" s="235"/>
      <c r="HH25" s="235"/>
      <c r="HI25" s="235"/>
      <c r="HJ25" s="235"/>
      <c r="HK25" s="235"/>
      <c r="HL25" s="235"/>
      <c r="HM25" s="235"/>
      <c r="HN25" s="235"/>
      <c r="HO25" s="235"/>
      <c r="HP25" s="235"/>
      <c r="HQ25" s="235"/>
      <c r="HR25" s="235"/>
      <c r="HS25" s="235"/>
      <c r="HT25" s="235"/>
      <c r="HU25" s="235"/>
      <c r="HV25" s="235"/>
      <c r="HW25" s="235"/>
      <c r="HX25" s="235"/>
      <c r="HY25" s="235"/>
      <c r="HZ25" s="235"/>
      <c r="IA25" s="235"/>
      <c r="IB25" s="235"/>
      <c r="IC25" s="235"/>
      <c r="ID25" s="235"/>
      <c r="IE25" s="235"/>
      <c r="IF25" s="235"/>
      <c r="IG25" s="235"/>
      <c r="IH25" s="235"/>
      <c r="II25" s="235"/>
      <c r="IJ25" s="235"/>
      <c r="IK25" s="235"/>
      <c r="IL25" s="235"/>
      <c r="IM25" s="235"/>
      <c r="IN25" s="235"/>
      <c r="IO25" s="235"/>
      <c r="IP25" s="235"/>
      <c r="IQ25" s="235"/>
      <c r="IR25" s="235"/>
      <c r="IS25" s="235"/>
      <c r="IT25" s="235"/>
      <c r="IU25" s="235"/>
      <c r="IV25" s="235"/>
    </row>
    <row r="26" spans="1:256" customFormat="1" ht="14.45" customHeight="1">
      <c r="A26" s="346" t="s">
        <v>114</v>
      </c>
      <c r="B26" s="517">
        <v>0</v>
      </c>
      <c r="C26" s="338">
        <v>772</v>
      </c>
      <c r="D26" s="499"/>
      <c r="E26" s="338">
        <v>3107</v>
      </c>
      <c r="F26" s="500">
        <f t="shared" ref="F26:F31" si="9">+(C26-E26)/E26*100</f>
        <v>-75.152880592211133</v>
      </c>
      <c r="G26" s="235"/>
      <c r="H26" s="456"/>
      <c r="I26" s="338"/>
      <c r="J26" s="342"/>
      <c r="K26" s="338"/>
      <c r="L26" s="338"/>
      <c r="M26" s="342"/>
      <c r="N26" s="527"/>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5"/>
      <c r="BL26" s="235"/>
      <c r="BM26" s="235"/>
      <c r="BN26" s="235"/>
      <c r="BO26" s="235"/>
      <c r="BP26" s="235"/>
      <c r="BQ26" s="235"/>
      <c r="BR26" s="235"/>
      <c r="BS26" s="235"/>
      <c r="BT26" s="235"/>
      <c r="BU26" s="235"/>
      <c r="BV26" s="235"/>
      <c r="BW26" s="235"/>
      <c r="BX26" s="235"/>
      <c r="BY26" s="235"/>
      <c r="BZ26" s="235"/>
      <c r="CA26" s="235"/>
      <c r="CB26" s="235"/>
      <c r="CC26" s="235"/>
      <c r="CD26" s="235"/>
      <c r="CE26" s="235"/>
      <c r="CF26" s="235"/>
      <c r="CG26" s="235"/>
      <c r="CH26" s="235"/>
      <c r="CI26" s="235"/>
      <c r="CJ26" s="235"/>
      <c r="CK26" s="235"/>
      <c r="CL26" s="235"/>
      <c r="CM26" s="235"/>
      <c r="CN26" s="235"/>
      <c r="CO26" s="235"/>
      <c r="CP26" s="235"/>
      <c r="CQ26" s="235"/>
      <c r="CR26" s="235"/>
      <c r="CS26" s="235"/>
      <c r="CT26" s="235"/>
      <c r="CU26" s="235"/>
      <c r="CV26" s="235"/>
      <c r="CW26" s="235"/>
      <c r="CX26" s="235"/>
      <c r="CY26" s="235"/>
      <c r="CZ26" s="235"/>
      <c r="DA26" s="235"/>
      <c r="DB26" s="235"/>
      <c r="DC26" s="235"/>
      <c r="DD26" s="235"/>
      <c r="DE26" s="235"/>
      <c r="DF26" s="235"/>
      <c r="DG26" s="235"/>
      <c r="DH26" s="235"/>
      <c r="DI26" s="235"/>
      <c r="DJ26" s="235"/>
      <c r="DK26" s="235"/>
      <c r="DL26" s="235"/>
      <c r="DM26" s="235"/>
      <c r="DN26" s="235"/>
      <c r="DO26" s="235"/>
      <c r="DP26" s="235"/>
      <c r="DQ26" s="235"/>
      <c r="DR26" s="235"/>
      <c r="DS26" s="235"/>
      <c r="DT26" s="235"/>
      <c r="DU26" s="235"/>
      <c r="DV26" s="235"/>
      <c r="DW26" s="235"/>
      <c r="DX26" s="235"/>
      <c r="DY26" s="235"/>
      <c r="DZ26" s="235"/>
      <c r="EA26" s="235"/>
      <c r="EB26" s="235"/>
      <c r="EC26" s="235"/>
      <c r="ED26" s="235"/>
      <c r="EE26" s="235"/>
      <c r="EF26" s="235"/>
      <c r="EG26" s="235"/>
      <c r="EH26" s="235"/>
      <c r="EI26" s="235"/>
      <c r="EJ26" s="235"/>
      <c r="EK26" s="235"/>
      <c r="EL26" s="235"/>
      <c r="EM26" s="235"/>
      <c r="EN26" s="235"/>
      <c r="EO26" s="235"/>
      <c r="EP26" s="235"/>
      <c r="EQ26" s="235"/>
      <c r="ER26" s="235"/>
      <c r="ES26" s="235"/>
      <c r="ET26" s="235"/>
      <c r="EU26" s="235"/>
      <c r="EV26" s="235"/>
      <c r="EW26" s="235"/>
      <c r="EX26" s="235"/>
      <c r="EY26" s="235"/>
      <c r="EZ26" s="235"/>
      <c r="FA26" s="235"/>
      <c r="FB26" s="235"/>
      <c r="FC26" s="235"/>
      <c r="FD26" s="235"/>
      <c r="FE26" s="235"/>
      <c r="FF26" s="235"/>
      <c r="FG26" s="235"/>
      <c r="FH26" s="235"/>
      <c r="FI26" s="235"/>
      <c r="FJ26" s="235"/>
      <c r="FK26" s="235"/>
      <c r="FL26" s="235"/>
      <c r="FM26" s="235"/>
      <c r="FN26" s="235"/>
      <c r="FO26" s="235"/>
      <c r="FP26" s="235"/>
      <c r="FQ26" s="235"/>
      <c r="FR26" s="235"/>
      <c r="FS26" s="235"/>
      <c r="FT26" s="235"/>
      <c r="FU26" s="235"/>
      <c r="FV26" s="235"/>
      <c r="FW26" s="235"/>
      <c r="FX26" s="235"/>
      <c r="FY26" s="235"/>
      <c r="FZ26" s="235"/>
      <c r="GA26" s="235"/>
      <c r="GB26" s="235"/>
      <c r="GC26" s="235"/>
      <c r="GD26" s="235"/>
      <c r="GE26" s="235"/>
      <c r="GF26" s="235"/>
      <c r="GG26" s="235"/>
      <c r="GH26" s="235"/>
      <c r="GI26" s="235"/>
      <c r="GJ26" s="235"/>
      <c r="GK26" s="235"/>
      <c r="GL26" s="235"/>
      <c r="GM26" s="235"/>
      <c r="GN26" s="235"/>
      <c r="GO26" s="235"/>
      <c r="GP26" s="235"/>
      <c r="GQ26" s="235"/>
      <c r="GR26" s="235"/>
      <c r="GS26" s="235"/>
      <c r="GT26" s="235"/>
      <c r="GU26" s="235"/>
      <c r="GV26" s="235"/>
      <c r="GW26" s="235"/>
      <c r="GX26" s="235"/>
      <c r="GY26" s="235"/>
      <c r="GZ26" s="235"/>
      <c r="HA26" s="235"/>
      <c r="HB26" s="235"/>
      <c r="HC26" s="235"/>
      <c r="HD26" s="235"/>
      <c r="HE26" s="235"/>
      <c r="HF26" s="235"/>
      <c r="HG26" s="235"/>
      <c r="HH26" s="235"/>
      <c r="HI26" s="235"/>
      <c r="HJ26" s="235"/>
      <c r="HK26" s="235"/>
      <c r="HL26" s="235"/>
      <c r="HM26" s="235"/>
      <c r="HN26" s="235"/>
      <c r="HO26" s="235"/>
      <c r="HP26" s="235"/>
      <c r="HQ26" s="235"/>
      <c r="HR26" s="235"/>
      <c r="HS26" s="235"/>
      <c r="HT26" s="235"/>
      <c r="HU26" s="235"/>
      <c r="HV26" s="235"/>
      <c r="HW26" s="235"/>
      <c r="HX26" s="235"/>
      <c r="HY26" s="235"/>
      <c r="HZ26" s="235"/>
      <c r="IA26" s="235"/>
      <c r="IB26" s="235"/>
      <c r="IC26" s="235"/>
      <c r="ID26" s="235"/>
      <c r="IE26" s="235"/>
      <c r="IF26" s="235"/>
      <c r="IG26" s="235"/>
      <c r="IH26" s="235"/>
      <c r="II26" s="235"/>
      <c r="IJ26" s="235"/>
      <c r="IK26" s="235"/>
      <c r="IL26" s="235"/>
      <c r="IM26" s="235"/>
      <c r="IN26" s="235"/>
      <c r="IO26" s="235"/>
      <c r="IP26" s="235"/>
      <c r="IQ26" s="235"/>
      <c r="IR26" s="235"/>
      <c r="IS26" s="235"/>
      <c r="IT26" s="235"/>
      <c r="IU26" s="235"/>
      <c r="IV26" s="235"/>
    </row>
    <row r="27" spans="1:256" customFormat="1" ht="14.45" customHeight="1">
      <c r="A27" s="346" t="s">
        <v>115</v>
      </c>
      <c r="B27" s="517">
        <v>13415</v>
      </c>
      <c r="C27" s="338">
        <v>16724</v>
      </c>
      <c r="D27" s="499">
        <f>C27/B27*100</f>
        <v>124.66641818859485</v>
      </c>
      <c r="E27" s="338">
        <v>12542</v>
      </c>
      <c r="F27" s="500">
        <f t="shared" si="9"/>
        <v>33.343964280019136</v>
      </c>
      <c r="G27" s="235"/>
      <c r="H27" s="456"/>
      <c r="I27" s="338"/>
      <c r="J27" s="342"/>
      <c r="K27" s="338"/>
      <c r="L27" s="338"/>
      <c r="M27" s="342"/>
      <c r="N27" s="527"/>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c r="AZ27" s="235"/>
      <c r="BA27" s="235"/>
      <c r="BB27" s="235"/>
      <c r="BC27" s="235"/>
      <c r="BD27" s="235"/>
      <c r="BE27" s="235"/>
      <c r="BF27" s="235"/>
      <c r="BG27" s="235"/>
      <c r="BH27" s="235"/>
      <c r="BI27" s="235"/>
      <c r="BJ27" s="235"/>
      <c r="BK27" s="235"/>
      <c r="BL27" s="235"/>
      <c r="BM27" s="235"/>
      <c r="BN27" s="235"/>
      <c r="BO27" s="235"/>
      <c r="BP27" s="235"/>
      <c r="BQ27" s="235"/>
      <c r="BR27" s="235"/>
      <c r="BS27" s="235"/>
      <c r="BT27" s="235"/>
      <c r="BU27" s="235"/>
      <c r="BV27" s="235"/>
      <c r="BW27" s="235"/>
      <c r="BX27" s="235"/>
      <c r="BY27" s="235"/>
      <c r="BZ27" s="235"/>
      <c r="CA27" s="235"/>
      <c r="CB27" s="235"/>
      <c r="CC27" s="235"/>
      <c r="CD27" s="235"/>
      <c r="CE27" s="235"/>
      <c r="CF27" s="235"/>
      <c r="CG27" s="235"/>
      <c r="CH27" s="235"/>
      <c r="CI27" s="235"/>
      <c r="CJ27" s="235"/>
      <c r="CK27" s="235"/>
      <c r="CL27" s="235"/>
      <c r="CM27" s="235"/>
      <c r="CN27" s="235"/>
      <c r="CO27" s="235"/>
      <c r="CP27" s="235"/>
      <c r="CQ27" s="235"/>
      <c r="CR27" s="235"/>
      <c r="CS27" s="235"/>
      <c r="CT27" s="235"/>
      <c r="CU27" s="235"/>
      <c r="CV27" s="235"/>
      <c r="CW27" s="235"/>
      <c r="CX27" s="235"/>
      <c r="CY27" s="235"/>
      <c r="CZ27" s="235"/>
      <c r="DA27" s="235"/>
      <c r="DB27" s="235"/>
      <c r="DC27" s="235"/>
      <c r="DD27" s="235"/>
      <c r="DE27" s="235"/>
      <c r="DF27" s="235"/>
      <c r="DG27" s="235"/>
      <c r="DH27" s="235"/>
      <c r="DI27" s="235"/>
      <c r="DJ27" s="235"/>
      <c r="DK27" s="235"/>
      <c r="DL27" s="235"/>
      <c r="DM27" s="235"/>
      <c r="DN27" s="235"/>
      <c r="DO27" s="235"/>
      <c r="DP27" s="235"/>
      <c r="DQ27" s="235"/>
      <c r="DR27" s="235"/>
      <c r="DS27" s="235"/>
      <c r="DT27" s="235"/>
      <c r="DU27" s="235"/>
      <c r="DV27" s="235"/>
      <c r="DW27" s="235"/>
      <c r="DX27" s="235"/>
      <c r="DY27" s="235"/>
      <c r="DZ27" s="235"/>
      <c r="EA27" s="235"/>
      <c r="EB27" s="235"/>
      <c r="EC27" s="235"/>
      <c r="ED27" s="235"/>
      <c r="EE27" s="235"/>
      <c r="EF27" s="235"/>
      <c r="EG27" s="235"/>
      <c r="EH27" s="235"/>
      <c r="EI27" s="235"/>
      <c r="EJ27" s="235"/>
      <c r="EK27" s="235"/>
      <c r="EL27" s="235"/>
      <c r="EM27" s="235"/>
      <c r="EN27" s="235"/>
      <c r="EO27" s="235"/>
      <c r="EP27" s="235"/>
      <c r="EQ27" s="235"/>
      <c r="ER27" s="235"/>
      <c r="ES27" s="235"/>
      <c r="ET27" s="235"/>
      <c r="EU27" s="235"/>
      <c r="EV27" s="235"/>
      <c r="EW27" s="235"/>
      <c r="EX27" s="235"/>
      <c r="EY27" s="235"/>
      <c r="EZ27" s="235"/>
      <c r="FA27" s="235"/>
      <c r="FB27" s="235"/>
      <c r="FC27" s="235"/>
      <c r="FD27" s="235"/>
      <c r="FE27" s="235"/>
      <c r="FF27" s="235"/>
      <c r="FG27" s="235"/>
      <c r="FH27" s="235"/>
      <c r="FI27" s="235"/>
      <c r="FJ27" s="235"/>
      <c r="FK27" s="235"/>
      <c r="FL27" s="235"/>
      <c r="FM27" s="235"/>
      <c r="FN27" s="235"/>
      <c r="FO27" s="235"/>
      <c r="FP27" s="235"/>
      <c r="FQ27" s="235"/>
      <c r="FR27" s="235"/>
      <c r="FS27" s="235"/>
      <c r="FT27" s="235"/>
      <c r="FU27" s="235"/>
      <c r="FV27" s="235"/>
      <c r="FW27" s="235"/>
      <c r="FX27" s="235"/>
      <c r="FY27" s="235"/>
      <c r="FZ27" s="235"/>
      <c r="GA27" s="235"/>
      <c r="GB27" s="235"/>
      <c r="GC27" s="235"/>
      <c r="GD27" s="235"/>
      <c r="GE27" s="235"/>
      <c r="GF27" s="235"/>
      <c r="GG27" s="235"/>
      <c r="GH27" s="235"/>
      <c r="GI27" s="235"/>
      <c r="GJ27" s="235"/>
      <c r="GK27" s="235"/>
      <c r="GL27" s="235"/>
      <c r="GM27" s="235"/>
      <c r="GN27" s="235"/>
      <c r="GO27" s="235"/>
      <c r="GP27" s="235"/>
      <c r="GQ27" s="235"/>
      <c r="GR27" s="235"/>
      <c r="GS27" s="235"/>
      <c r="GT27" s="235"/>
      <c r="GU27" s="235"/>
      <c r="GV27" s="235"/>
      <c r="GW27" s="235"/>
      <c r="GX27" s="235"/>
      <c r="GY27" s="235"/>
      <c r="GZ27" s="235"/>
      <c r="HA27" s="235"/>
      <c r="HB27" s="235"/>
      <c r="HC27" s="235"/>
      <c r="HD27" s="235"/>
      <c r="HE27" s="235"/>
      <c r="HF27" s="235"/>
      <c r="HG27" s="235"/>
      <c r="HH27" s="235"/>
      <c r="HI27" s="235"/>
      <c r="HJ27" s="235"/>
      <c r="HK27" s="235"/>
      <c r="HL27" s="235"/>
      <c r="HM27" s="235"/>
      <c r="HN27" s="235"/>
      <c r="HO27" s="235"/>
      <c r="HP27" s="235"/>
      <c r="HQ27" s="235"/>
      <c r="HR27" s="235"/>
      <c r="HS27" s="235"/>
      <c r="HT27" s="235"/>
      <c r="HU27" s="235"/>
      <c r="HV27" s="235"/>
      <c r="HW27" s="235"/>
      <c r="HX27" s="235"/>
      <c r="HY27" s="235"/>
      <c r="HZ27" s="235"/>
      <c r="IA27" s="235"/>
      <c r="IB27" s="235"/>
      <c r="IC27" s="235"/>
      <c r="ID27" s="235"/>
      <c r="IE27" s="235"/>
      <c r="IF27" s="235"/>
      <c r="IG27" s="235"/>
      <c r="IH27" s="235"/>
      <c r="II27" s="235"/>
      <c r="IJ27" s="235"/>
      <c r="IK27" s="235"/>
      <c r="IL27" s="235"/>
      <c r="IM27" s="235"/>
      <c r="IN27" s="235"/>
      <c r="IO27" s="235"/>
      <c r="IP27" s="235"/>
      <c r="IQ27" s="235"/>
      <c r="IR27" s="235"/>
      <c r="IS27" s="235"/>
      <c r="IT27" s="235"/>
      <c r="IU27" s="235"/>
      <c r="IV27" s="235"/>
    </row>
    <row r="28" spans="1:256" customFormat="1" ht="14.45" customHeight="1">
      <c r="A28" s="346" t="s">
        <v>116</v>
      </c>
      <c r="B28" s="517">
        <v>6804</v>
      </c>
      <c r="C28" s="338">
        <v>7321</v>
      </c>
      <c r="D28" s="499">
        <f t="shared" ref="D28:D31" si="10">C28/B28*100</f>
        <v>107.59847148736037</v>
      </c>
      <c r="E28" s="338">
        <v>12088</v>
      </c>
      <c r="F28" s="500">
        <f t="shared" si="9"/>
        <v>-39.43580410324288</v>
      </c>
      <c r="G28" s="235"/>
      <c r="H28" s="456"/>
      <c r="I28" s="338"/>
      <c r="J28" s="342"/>
      <c r="K28" s="338"/>
      <c r="L28" s="338"/>
      <c r="M28" s="342"/>
      <c r="N28" s="527"/>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5"/>
      <c r="BC28" s="235"/>
      <c r="BD28" s="235"/>
      <c r="BE28" s="235"/>
      <c r="BF28" s="235"/>
      <c r="BG28" s="235"/>
      <c r="BH28" s="235"/>
      <c r="BI28" s="235"/>
      <c r="BJ28" s="235"/>
      <c r="BK28" s="235"/>
      <c r="BL28" s="235"/>
      <c r="BM28" s="235"/>
      <c r="BN28" s="235"/>
      <c r="BO28" s="235"/>
      <c r="BP28" s="235"/>
      <c r="BQ28" s="235"/>
      <c r="BR28" s="235"/>
      <c r="BS28" s="235"/>
      <c r="BT28" s="235"/>
      <c r="BU28" s="235"/>
      <c r="BV28" s="235"/>
      <c r="BW28" s="235"/>
      <c r="BX28" s="235"/>
      <c r="BY28" s="235"/>
      <c r="BZ28" s="235"/>
      <c r="CA28" s="235"/>
      <c r="CB28" s="235"/>
      <c r="CC28" s="235"/>
      <c r="CD28" s="235"/>
      <c r="CE28" s="235"/>
      <c r="CF28" s="235"/>
      <c r="CG28" s="235"/>
      <c r="CH28" s="235"/>
      <c r="CI28" s="235"/>
      <c r="CJ28" s="235"/>
      <c r="CK28" s="235"/>
      <c r="CL28" s="235"/>
      <c r="CM28" s="235"/>
      <c r="CN28" s="235"/>
      <c r="CO28" s="235"/>
      <c r="CP28" s="235"/>
      <c r="CQ28" s="235"/>
      <c r="CR28" s="235"/>
      <c r="CS28" s="235"/>
      <c r="CT28" s="235"/>
      <c r="CU28" s="235"/>
      <c r="CV28" s="235"/>
      <c r="CW28" s="235"/>
      <c r="CX28" s="235"/>
      <c r="CY28" s="235"/>
      <c r="CZ28" s="235"/>
      <c r="DA28" s="235"/>
      <c r="DB28" s="235"/>
      <c r="DC28" s="235"/>
      <c r="DD28" s="235"/>
      <c r="DE28" s="235"/>
      <c r="DF28" s="235"/>
      <c r="DG28" s="235"/>
      <c r="DH28" s="235"/>
      <c r="DI28" s="235"/>
      <c r="DJ28" s="235"/>
      <c r="DK28" s="235"/>
      <c r="DL28" s="235"/>
      <c r="DM28" s="235"/>
      <c r="DN28" s="235"/>
      <c r="DO28" s="235"/>
      <c r="DP28" s="235"/>
      <c r="DQ28" s="235"/>
      <c r="DR28" s="235"/>
      <c r="DS28" s="235"/>
      <c r="DT28" s="235"/>
      <c r="DU28" s="235"/>
      <c r="DV28" s="235"/>
      <c r="DW28" s="235"/>
      <c r="DX28" s="235"/>
      <c r="DY28" s="235"/>
      <c r="DZ28" s="235"/>
      <c r="EA28" s="235"/>
      <c r="EB28" s="235"/>
      <c r="EC28" s="235"/>
      <c r="ED28" s="235"/>
      <c r="EE28" s="235"/>
      <c r="EF28" s="235"/>
      <c r="EG28" s="235"/>
      <c r="EH28" s="235"/>
      <c r="EI28" s="235"/>
      <c r="EJ28" s="235"/>
      <c r="EK28" s="235"/>
      <c r="EL28" s="235"/>
      <c r="EM28" s="235"/>
      <c r="EN28" s="235"/>
      <c r="EO28" s="235"/>
      <c r="EP28" s="235"/>
      <c r="EQ28" s="235"/>
      <c r="ER28" s="235"/>
      <c r="ES28" s="235"/>
      <c r="ET28" s="235"/>
      <c r="EU28" s="235"/>
      <c r="EV28" s="235"/>
      <c r="EW28" s="235"/>
      <c r="EX28" s="235"/>
      <c r="EY28" s="235"/>
      <c r="EZ28" s="235"/>
      <c r="FA28" s="235"/>
      <c r="FB28" s="235"/>
      <c r="FC28" s="235"/>
      <c r="FD28" s="235"/>
      <c r="FE28" s="235"/>
      <c r="FF28" s="235"/>
      <c r="FG28" s="235"/>
      <c r="FH28" s="235"/>
      <c r="FI28" s="235"/>
      <c r="FJ28" s="235"/>
      <c r="FK28" s="235"/>
      <c r="FL28" s="235"/>
      <c r="FM28" s="235"/>
      <c r="FN28" s="235"/>
      <c r="FO28" s="235"/>
      <c r="FP28" s="235"/>
      <c r="FQ28" s="235"/>
      <c r="FR28" s="235"/>
      <c r="FS28" s="235"/>
      <c r="FT28" s="235"/>
      <c r="FU28" s="235"/>
      <c r="FV28" s="235"/>
      <c r="FW28" s="235"/>
      <c r="FX28" s="235"/>
      <c r="FY28" s="235"/>
      <c r="FZ28" s="235"/>
      <c r="GA28" s="235"/>
      <c r="GB28" s="235"/>
      <c r="GC28" s="235"/>
      <c r="GD28" s="235"/>
      <c r="GE28" s="235"/>
      <c r="GF28" s="235"/>
      <c r="GG28" s="235"/>
      <c r="GH28" s="235"/>
      <c r="GI28" s="235"/>
      <c r="GJ28" s="235"/>
      <c r="GK28" s="235"/>
      <c r="GL28" s="235"/>
      <c r="GM28" s="235"/>
      <c r="GN28" s="235"/>
      <c r="GO28" s="235"/>
      <c r="GP28" s="235"/>
      <c r="GQ28" s="235"/>
      <c r="GR28" s="235"/>
      <c r="GS28" s="235"/>
      <c r="GT28" s="235"/>
      <c r="GU28" s="235"/>
      <c r="GV28" s="235"/>
      <c r="GW28" s="235"/>
      <c r="GX28" s="235"/>
      <c r="GY28" s="235"/>
      <c r="GZ28" s="235"/>
      <c r="HA28" s="235"/>
      <c r="HB28" s="235"/>
      <c r="HC28" s="235"/>
      <c r="HD28" s="235"/>
      <c r="HE28" s="235"/>
      <c r="HF28" s="235"/>
      <c r="HG28" s="235"/>
      <c r="HH28" s="235"/>
      <c r="HI28" s="235"/>
      <c r="HJ28" s="235"/>
      <c r="HK28" s="235"/>
      <c r="HL28" s="235"/>
      <c r="HM28" s="235"/>
      <c r="HN28" s="235"/>
      <c r="HO28" s="235"/>
      <c r="HP28" s="235"/>
      <c r="HQ28" s="235"/>
      <c r="HR28" s="235"/>
      <c r="HS28" s="235"/>
      <c r="HT28" s="235"/>
      <c r="HU28" s="235"/>
      <c r="HV28" s="235"/>
      <c r="HW28" s="235"/>
      <c r="HX28" s="235"/>
      <c r="HY28" s="235"/>
      <c r="HZ28" s="235"/>
      <c r="IA28" s="235"/>
      <c r="IB28" s="235"/>
      <c r="IC28" s="235"/>
      <c r="ID28" s="235"/>
      <c r="IE28" s="235"/>
      <c r="IF28" s="235"/>
      <c r="IG28" s="235"/>
      <c r="IH28" s="235"/>
      <c r="II28" s="235"/>
      <c r="IJ28" s="235"/>
      <c r="IK28" s="235"/>
      <c r="IL28" s="235"/>
      <c r="IM28" s="235"/>
      <c r="IN28" s="235"/>
      <c r="IO28" s="235"/>
      <c r="IP28" s="235"/>
      <c r="IQ28" s="235"/>
      <c r="IR28" s="235"/>
      <c r="IS28" s="235"/>
      <c r="IT28" s="235"/>
      <c r="IU28" s="235"/>
      <c r="IV28" s="235"/>
    </row>
    <row r="29" spans="1:256" customFormat="1" ht="14.45" customHeight="1">
      <c r="A29" s="344" t="s">
        <v>117</v>
      </c>
      <c r="B29" s="388">
        <f>+B4+B20</f>
        <v>742175</v>
      </c>
      <c r="C29" s="339">
        <f>+C4+C20</f>
        <v>710537</v>
      </c>
      <c r="D29" s="499">
        <f t="shared" si="10"/>
        <v>95.737123993667268</v>
      </c>
      <c r="E29" s="339">
        <f>+E4+E20</f>
        <v>696449</v>
      </c>
      <c r="F29" s="500">
        <f t="shared" si="9"/>
        <v>2.022832971258484</v>
      </c>
      <c r="G29" s="235"/>
      <c r="H29" s="456"/>
      <c r="I29" s="338"/>
      <c r="J29" s="338"/>
      <c r="K29" s="338"/>
      <c r="L29" s="338"/>
      <c r="M29" s="338"/>
      <c r="N29" s="528"/>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c r="AZ29" s="235"/>
      <c r="BA29" s="235"/>
      <c r="BB29" s="235"/>
      <c r="BC29" s="235"/>
      <c r="BD29" s="235"/>
      <c r="BE29" s="235"/>
      <c r="BF29" s="235"/>
      <c r="BG29" s="235"/>
      <c r="BH29" s="235"/>
      <c r="BI29" s="235"/>
      <c r="BJ29" s="235"/>
      <c r="BK29" s="235"/>
      <c r="BL29" s="235"/>
      <c r="BM29" s="235"/>
      <c r="BN29" s="235"/>
      <c r="BO29" s="235"/>
      <c r="BP29" s="235"/>
      <c r="BQ29" s="235"/>
      <c r="BR29" s="235"/>
      <c r="BS29" s="235"/>
      <c r="BT29" s="235"/>
      <c r="BU29" s="235"/>
      <c r="BV29" s="235"/>
      <c r="BW29" s="235"/>
      <c r="BX29" s="235"/>
      <c r="BY29" s="235"/>
      <c r="BZ29" s="235"/>
      <c r="CA29" s="235"/>
      <c r="CB29" s="235"/>
      <c r="CC29" s="235"/>
      <c r="CD29" s="235"/>
      <c r="CE29" s="235"/>
      <c r="CF29" s="235"/>
      <c r="CG29" s="235"/>
      <c r="CH29" s="235"/>
      <c r="CI29" s="235"/>
      <c r="CJ29" s="235"/>
      <c r="CK29" s="235"/>
      <c r="CL29" s="235"/>
      <c r="CM29" s="235"/>
      <c r="CN29" s="235"/>
      <c r="CO29" s="235"/>
      <c r="CP29" s="235"/>
      <c r="CQ29" s="235"/>
      <c r="CR29" s="235"/>
      <c r="CS29" s="235"/>
      <c r="CT29" s="235"/>
      <c r="CU29" s="235"/>
      <c r="CV29" s="235"/>
      <c r="CW29" s="235"/>
      <c r="CX29" s="235"/>
      <c r="CY29" s="235"/>
      <c r="CZ29" s="235"/>
      <c r="DA29" s="235"/>
      <c r="DB29" s="235"/>
      <c r="DC29" s="235"/>
      <c r="DD29" s="235"/>
      <c r="DE29" s="235"/>
      <c r="DF29" s="235"/>
      <c r="DG29" s="235"/>
      <c r="DH29" s="235"/>
      <c r="DI29" s="235"/>
      <c r="DJ29" s="235"/>
      <c r="DK29" s="235"/>
      <c r="DL29" s="235"/>
      <c r="DM29" s="235"/>
      <c r="DN29" s="235"/>
      <c r="DO29" s="235"/>
      <c r="DP29" s="235"/>
      <c r="DQ29" s="235"/>
      <c r="DR29" s="235"/>
      <c r="DS29" s="235"/>
      <c r="DT29" s="235"/>
      <c r="DU29" s="235"/>
      <c r="DV29" s="235"/>
      <c r="DW29" s="235"/>
      <c r="DX29" s="235"/>
      <c r="DY29" s="235"/>
      <c r="DZ29" s="235"/>
      <c r="EA29" s="235"/>
      <c r="EB29" s="235"/>
      <c r="EC29" s="235"/>
      <c r="ED29" s="235"/>
      <c r="EE29" s="235"/>
      <c r="EF29" s="235"/>
      <c r="EG29" s="235"/>
      <c r="EH29" s="235"/>
      <c r="EI29" s="235"/>
      <c r="EJ29" s="235"/>
      <c r="EK29" s="235"/>
      <c r="EL29" s="235"/>
      <c r="EM29" s="235"/>
      <c r="EN29" s="235"/>
      <c r="EO29" s="235"/>
      <c r="EP29" s="235"/>
      <c r="EQ29" s="235"/>
      <c r="ER29" s="235"/>
      <c r="ES29" s="235"/>
      <c r="ET29" s="235"/>
      <c r="EU29" s="235"/>
      <c r="EV29" s="235"/>
      <c r="EW29" s="235"/>
      <c r="EX29" s="235"/>
      <c r="EY29" s="235"/>
      <c r="EZ29" s="235"/>
      <c r="FA29" s="235"/>
      <c r="FB29" s="235"/>
      <c r="FC29" s="235"/>
      <c r="FD29" s="235"/>
      <c r="FE29" s="235"/>
      <c r="FF29" s="235"/>
      <c r="FG29" s="235"/>
      <c r="FH29" s="235"/>
      <c r="FI29" s="235"/>
      <c r="FJ29" s="235"/>
      <c r="FK29" s="235"/>
      <c r="FL29" s="235"/>
      <c r="FM29" s="235"/>
      <c r="FN29" s="235"/>
      <c r="FO29" s="235"/>
      <c r="FP29" s="235"/>
      <c r="FQ29" s="235"/>
      <c r="FR29" s="235"/>
      <c r="FS29" s="235"/>
      <c r="FT29" s="235"/>
      <c r="FU29" s="235"/>
      <c r="FV29" s="235"/>
      <c r="FW29" s="235"/>
      <c r="FX29" s="235"/>
      <c r="FY29" s="235"/>
      <c r="FZ29" s="235"/>
      <c r="GA29" s="235"/>
      <c r="GB29" s="235"/>
      <c r="GC29" s="235"/>
      <c r="GD29" s="235"/>
      <c r="GE29" s="235"/>
      <c r="GF29" s="235"/>
      <c r="GG29" s="235"/>
      <c r="GH29" s="235"/>
      <c r="GI29" s="235"/>
      <c r="GJ29" s="235"/>
      <c r="GK29" s="235"/>
      <c r="GL29" s="235"/>
      <c r="GM29" s="235"/>
      <c r="GN29" s="235"/>
      <c r="GO29" s="235"/>
      <c r="GP29" s="235"/>
      <c r="GQ29" s="235"/>
      <c r="GR29" s="235"/>
      <c r="GS29" s="235"/>
      <c r="GT29" s="235"/>
      <c r="GU29" s="235"/>
      <c r="GV29" s="235"/>
      <c r="GW29" s="235"/>
      <c r="GX29" s="235"/>
      <c r="GY29" s="235"/>
      <c r="GZ29" s="235"/>
      <c r="HA29" s="235"/>
      <c r="HB29" s="235"/>
      <c r="HC29" s="235"/>
      <c r="HD29" s="235"/>
      <c r="HE29" s="235"/>
      <c r="HF29" s="235"/>
      <c r="HG29" s="235"/>
      <c r="HH29" s="235"/>
      <c r="HI29" s="235"/>
      <c r="HJ29" s="235"/>
      <c r="HK29" s="235"/>
      <c r="HL29" s="235"/>
      <c r="HM29" s="235"/>
      <c r="HN29" s="235"/>
      <c r="HO29" s="235"/>
      <c r="HP29" s="235"/>
      <c r="HQ29" s="235"/>
      <c r="HR29" s="235"/>
      <c r="HS29" s="235"/>
      <c r="HT29" s="235"/>
      <c r="HU29" s="235"/>
      <c r="HV29" s="235"/>
      <c r="HW29" s="235"/>
      <c r="HX29" s="235"/>
      <c r="HY29" s="235"/>
      <c r="HZ29" s="235"/>
      <c r="IA29" s="235"/>
      <c r="IB29" s="235"/>
      <c r="IC29" s="235"/>
      <c r="ID29" s="235"/>
      <c r="IE29" s="235"/>
      <c r="IF29" s="235"/>
      <c r="IG29" s="235"/>
      <c r="IH29" s="235"/>
      <c r="II29" s="235"/>
      <c r="IJ29" s="235"/>
      <c r="IK29" s="235"/>
      <c r="IL29" s="235"/>
      <c r="IM29" s="235"/>
      <c r="IN29" s="235"/>
      <c r="IO29" s="235"/>
      <c r="IP29" s="235"/>
      <c r="IQ29" s="235"/>
      <c r="IR29" s="235"/>
      <c r="IS29" s="235"/>
      <c r="IT29" s="235"/>
      <c r="IU29" s="235"/>
      <c r="IV29" s="235"/>
    </row>
    <row r="30" spans="1:256" customFormat="1" ht="14.45" customHeight="1">
      <c r="A30" s="343" t="s">
        <v>118</v>
      </c>
      <c r="B30" s="388">
        <f>SUM(B31:B34)</f>
        <v>423125</v>
      </c>
      <c r="C30" s="339">
        <f>SUM(C31:C34)</f>
        <v>443795</v>
      </c>
      <c r="D30" s="499">
        <f t="shared" si="10"/>
        <v>104.8850812407681</v>
      </c>
      <c r="E30" s="339">
        <f>SUM(E31:E34)</f>
        <v>381534</v>
      </c>
      <c r="F30" s="500">
        <f t="shared" si="9"/>
        <v>16.318598080380777</v>
      </c>
      <c r="G30" s="235"/>
      <c r="H30" s="456"/>
      <c r="I30" s="338"/>
      <c r="J30" s="338"/>
      <c r="K30" s="338"/>
      <c r="L30" s="338"/>
      <c r="M30" s="338"/>
      <c r="N30" s="529"/>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235"/>
      <c r="BD30" s="235"/>
      <c r="BE30" s="235"/>
      <c r="BF30" s="235"/>
      <c r="BG30" s="235"/>
      <c r="BH30" s="235"/>
      <c r="BI30" s="235"/>
      <c r="BJ30" s="235"/>
      <c r="BK30" s="235"/>
      <c r="BL30" s="235"/>
      <c r="BM30" s="235"/>
      <c r="BN30" s="235"/>
      <c r="BO30" s="235"/>
      <c r="BP30" s="235"/>
      <c r="BQ30" s="235"/>
      <c r="BR30" s="235"/>
      <c r="BS30" s="235"/>
      <c r="BT30" s="235"/>
      <c r="BU30" s="235"/>
      <c r="BV30" s="235"/>
      <c r="BW30" s="235"/>
      <c r="BX30" s="235"/>
      <c r="BY30" s="235"/>
      <c r="BZ30" s="235"/>
      <c r="CA30" s="235"/>
      <c r="CB30" s="235"/>
      <c r="CC30" s="235"/>
      <c r="CD30" s="235"/>
      <c r="CE30" s="235"/>
      <c r="CF30" s="235"/>
      <c r="CG30" s="235"/>
      <c r="CH30" s="235"/>
      <c r="CI30" s="235"/>
      <c r="CJ30" s="235"/>
      <c r="CK30" s="235"/>
      <c r="CL30" s="235"/>
      <c r="CM30" s="235"/>
      <c r="CN30" s="235"/>
      <c r="CO30" s="235"/>
      <c r="CP30" s="235"/>
      <c r="CQ30" s="235"/>
      <c r="CR30" s="235"/>
      <c r="CS30" s="235"/>
      <c r="CT30" s="235"/>
      <c r="CU30" s="235"/>
      <c r="CV30" s="235"/>
      <c r="CW30" s="235"/>
      <c r="CX30" s="235"/>
      <c r="CY30" s="235"/>
      <c r="CZ30" s="235"/>
      <c r="DA30" s="235"/>
      <c r="DB30" s="235"/>
      <c r="DC30" s="235"/>
      <c r="DD30" s="235"/>
      <c r="DE30" s="235"/>
      <c r="DF30" s="235"/>
      <c r="DG30" s="235"/>
      <c r="DH30" s="235"/>
      <c r="DI30" s="235"/>
      <c r="DJ30" s="235"/>
      <c r="DK30" s="235"/>
      <c r="DL30" s="235"/>
      <c r="DM30" s="235"/>
      <c r="DN30" s="235"/>
      <c r="DO30" s="235"/>
      <c r="DP30" s="235"/>
      <c r="DQ30" s="235"/>
      <c r="DR30" s="235"/>
      <c r="DS30" s="235"/>
      <c r="DT30" s="235"/>
      <c r="DU30" s="235"/>
      <c r="DV30" s="235"/>
      <c r="DW30" s="235"/>
      <c r="DX30" s="235"/>
      <c r="DY30" s="235"/>
      <c r="DZ30" s="235"/>
      <c r="EA30" s="235"/>
      <c r="EB30" s="235"/>
      <c r="EC30" s="235"/>
      <c r="ED30" s="235"/>
      <c r="EE30" s="235"/>
      <c r="EF30" s="235"/>
      <c r="EG30" s="235"/>
      <c r="EH30" s="235"/>
      <c r="EI30" s="235"/>
      <c r="EJ30" s="235"/>
      <c r="EK30" s="235"/>
      <c r="EL30" s="235"/>
      <c r="EM30" s="235"/>
      <c r="EN30" s="235"/>
      <c r="EO30" s="235"/>
      <c r="EP30" s="235"/>
      <c r="EQ30" s="235"/>
      <c r="ER30" s="235"/>
      <c r="ES30" s="235"/>
      <c r="ET30" s="235"/>
      <c r="EU30" s="235"/>
      <c r="EV30" s="235"/>
      <c r="EW30" s="235"/>
      <c r="EX30" s="235"/>
      <c r="EY30" s="235"/>
      <c r="EZ30" s="235"/>
      <c r="FA30" s="235"/>
      <c r="FB30" s="235"/>
      <c r="FC30" s="235"/>
      <c r="FD30" s="235"/>
      <c r="FE30" s="235"/>
      <c r="FF30" s="235"/>
      <c r="FG30" s="235"/>
      <c r="FH30" s="235"/>
      <c r="FI30" s="235"/>
      <c r="FJ30" s="235"/>
      <c r="FK30" s="235"/>
      <c r="FL30" s="235"/>
      <c r="FM30" s="235"/>
      <c r="FN30" s="235"/>
      <c r="FO30" s="235"/>
      <c r="FP30" s="235"/>
      <c r="FQ30" s="235"/>
      <c r="FR30" s="235"/>
      <c r="FS30" s="235"/>
      <c r="FT30" s="235"/>
      <c r="FU30" s="235"/>
      <c r="FV30" s="235"/>
      <c r="FW30" s="235"/>
      <c r="FX30" s="235"/>
      <c r="FY30" s="235"/>
      <c r="FZ30" s="235"/>
      <c r="GA30" s="235"/>
      <c r="GB30" s="235"/>
      <c r="GC30" s="235"/>
      <c r="GD30" s="235"/>
      <c r="GE30" s="235"/>
      <c r="GF30" s="235"/>
      <c r="GG30" s="235"/>
      <c r="GH30" s="235"/>
      <c r="GI30" s="235"/>
      <c r="GJ30" s="235"/>
      <c r="GK30" s="235"/>
      <c r="GL30" s="235"/>
      <c r="GM30" s="235"/>
      <c r="GN30" s="235"/>
      <c r="GO30" s="235"/>
      <c r="GP30" s="235"/>
      <c r="GQ30" s="235"/>
      <c r="GR30" s="235"/>
      <c r="GS30" s="235"/>
      <c r="GT30" s="235"/>
      <c r="GU30" s="235"/>
      <c r="GV30" s="235"/>
      <c r="GW30" s="235"/>
      <c r="GX30" s="235"/>
      <c r="GY30" s="235"/>
      <c r="GZ30" s="235"/>
      <c r="HA30" s="235"/>
      <c r="HB30" s="235"/>
      <c r="HC30" s="235"/>
      <c r="HD30" s="235"/>
      <c r="HE30" s="235"/>
      <c r="HF30" s="235"/>
      <c r="HG30" s="235"/>
      <c r="HH30" s="235"/>
      <c r="HI30" s="235"/>
      <c r="HJ30" s="235"/>
      <c r="HK30" s="235"/>
      <c r="HL30" s="235"/>
      <c r="HM30" s="235"/>
      <c r="HN30" s="235"/>
      <c r="HO30" s="235"/>
      <c r="HP30" s="235"/>
      <c r="HQ30" s="235"/>
      <c r="HR30" s="235"/>
      <c r="HS30" s="235"/>
      <c r="HT30" s="235"/>
      <c r="HU30" s="235"/>
      <c r="HV30" s="235"/>
      <c r="HW30" s="235"/>
      <c r="HX30" s="235"/>
      <c r="HY30" s="235"/>
      <c r="HZ30" s="235"/>
      <c r="IA30" s="235"/>
      <c r="IB30" s="235"/>
      <c r="IC30" s="235"/>
      <c r="ID30" s="235"/>
      <c r="IE30" s="235"/>
      <c r="IF30" s="235"/>
      <c r="IG30" s="235"/>
      <c r="IH30" s="235"/>
      <c r="II30" s="235"/>
      <c r="IJ30" s="235"/>
      <c r="IK30" s="235"/>
      <c r="IL30" s="235"/>
      <c r="IM30" s="235"/>
      <c r="IN30" s="235"/>
      <c r="IO30" s="235"/>
      <c r="IP30" s="235"/>
      <c r="IQ30" s="235"/>
      <c r="IR30" s="235"/>
      <c r="IS30" s="235"/>
      <c r="IT30" s="235"/>
      <c r="IU30" s="235"/>
      <c r="IV30" s="235"/>
    </row>
    <row r="31" spans="1:256" customFormat="1" ht="14.45" customHeight="1">
      <c r="A31" s="337" t="s">
        <v>119</v>
      </c>
      <c r="B31" s="388">
        <v>238172</v>
      </c>
      <c r="C31" s="338">
        <v>242320</v>
      </c>
      <c r="D31" s="499">
        <f t="shared" si="10"/>
        <v>101.74159850864082</v>
      </c>
      <c r="E31" s="338">
        <v>215380</v>
      </c>
      <c r="F31" s="500">
        <f t="shared" si="9"/>
        <v>12.508125174110873</v>
      </c>
      <c r="G31" s="235"/>
      <c r="H31" s="456"/>
      <c r="I31" s="338"/>
      <c r="J31" s="342"/>
      <c r="K31" s="338"/>
      <c r="L31" s="338"/>
      <c r="M31" s="342"/>
      <c r="N31" s="526"/>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5"/>
      <c r="BL31" s="235"/>
      <c r="BM31" s="235"/>
      <c r="BN31" s="235"/>
      <c r="BO31" s="235"/>
      <c r="BP31" s="235"/>
      <c r="BQ31" s="235"/>
      <c r="BR31" s="235"/>
      <c r="BS31" s="235"/>
      <c r="BT31" s="235"/>
      <c r="BU31" s="235"/>
      <c r="BV31" s="235"/>
      <c r="BW31" s="235"/>
      <c r="BX31" s="235"/>
      <c r="BY31" s="235"/>
      <c r="BZ31" s="235"/>
      <c r="CA31" s="235"/>
      <c r="CB31" s="235"/>
      <c r="CC31" s="235"/>
      <c r="CD31" s="235"/>
      <c r="CE31" s="235"/>
      <c r="CF31" s="235"/>
      <c r="CG31" s="235"/>
      <c r="CH31" s="235"/>
      <c r="CI31" s="235"/>
      <c r="CJ31" s="235"/>
      <c r="CK31" s="235"/>
      <c r="CL31" s="235"/>
      <c r="CM31" s="235"/>
      <c r="CN31" s="235"/>
      <c r="CO31" s="235"/>
      <c r="CP31" s="235"/>
      <c r="CQ31" s="235"/>
      <c r="CR31" s="235"/>
      <c r="CS31" s="235"/>
      <c r="CT31" s="235"/>
      <c r="CU31" s="235"/>
      <c r="CV31" s="235"/>
      <c r="CW31" s="235"/>
      <c r="CX31" s="235"/>
      <c r="CY31" s="235"/>
      <c r="CZ31" s="235"/>
      <c r="DA31" s="235"/>
      <c r="DB31" s="235"/>
      <c r="DC31" s="235"/>
      <c r="DD31" s="235"/>
      <c r="DE31" s="235"/>
      <c r="DF31" s="235"/>
      <c r="DG31" s="235"/>
      <c r="DH31" s="235"/>
      <c r="DI31" s="235"/>
      <c r="DJ31" s="235"/>
      <c r="DK31" s="235"/>
      <c r="DL31" s="235"/>
      <c r="DM31" s="235"/>
      <c r="DN31" s="235"/>
      <c r="DO31" s="235"/>
      <c r="DP31" s="235"/>
      <c r="DQ31" s="235"/>
      <c r="DR31" s="235"/>
      <c r="DS31" s="235"/>
      <c r="DT31" s="235"/>
      <c r="DU31" s="235"/>
      <c r="DV31" s="235"/>
      <c r="DW31" s="235"/>
      <c r="DX31" s="235"/>
      <c r="DY31" s="235"/>
      <c r="DZ31" s="235"/>
      <c r="EA31" s="235"/>
      <c r="EB31" s="235"/>
      <c r="EC31" s="235"/>
      <c r="ED31" s="235"/>
      <c r="EE31" s="235"/>
      <c r="EF31" s="235"/>
      <c r="EG31" s="235"/>
      <c r="EH31" s="235"/>
      <c r="EI31" s="235"/>
      <c r="EJ31" s="235"/>
      <c r="EK31" s="235"/>
      <c r="EL31" s="235"/>
      <c r="EM31" s="235"/>
      <c r="EN31" s="235"/>
      <c r="EO31" s="235"/>
      <c r="EP31" s="235"/>
      <c r="EQ31" s="235"/>
      <c r="ER31" s="235"/>
      <c r="ES31" s="235"/>
      <c r="ET31" s="235"/>
      <c r="EU31" s="235"/>
      <c r="EV31" s="235"/>
      <c r="EW31" s="235"/>
      <c r="EX31" s="235"/>
      <c r="EY31" s="235"/>
      <c r="EZ31" s="235"/>
      <c r="FA31" s="235"/>
      <c r="FB31" s="235"/>
      <c r="FC31" s="235"/>
      <c r="FD31" s="235"/>
      <c r="FE31" s="235"/>
      <c r="FF31" s="235"/>
      <c r="FG31" s="235"/>
      <c r="FH31" s="235"/>
      <c r="FI31" s="235"/>
      <c r="FJ31" s="235"/>
      <c r="FK31" s="235"/>
      <c r="FL31" s="235"/>
      <c r="FM31" s="235"/>
      <c r="FN31" s="235"/>
      <c r="FO31" s="235"/>
      <c r="FP31" s="235"/>
      <c r="FQ31" s="235"/>
      <c r="FR31" s="235"/>
      <c r="FS31" s="235"/>
      <c r="FT31" s="235"/>
      <c r="FU31" s="235"/>
      <c r="FV31" s="235"/>
      <c r="FW31" s="235"/>
      <c r="FX31" s="235"/>
      <c r="FY31" s="235"/>
      <c r="FZ31" s="235"/>
      <c r="GA31" s="235"/>
      <c r="GB31" s="235"/>
      <c r="GC31" s="235"/>
      <c r="GD31" s="235"/>
      <c r="GE31" s="235"/>
      <c r="GF31" s="235"/>
      <c r="GG31" s="235"/>
      <c r="GH31" s="235"/>
      <c r="GI31" s="235"/>
      <c r="GJ31" s="235"/>
      <c r="GK31" s="235"/>
      <c r="GL31" s="235"/>
      <c r="GM31" s="235"/>
      <c r="GN31" s="235"/>
      <c r="GO31" s="235"/>
      <c r="GP31" s="235"/>
      <c r="GQ31" s="235"/>
      <c r="GR31" s="235"/>
      <c r="GS31" s="235"/>
      <c r="GT31" s="235"/>
      <c r="GU31" s="235"/>
      <c r="GV31" s="235"/>
      <c r="GW31" s="235"/>
      <c r="GX31" s="235"/>
      <c r="GY31" s="235"/>
      <c r="GZ31" s="235"/>
      <c r="HA31" s="235"/>
      <c r="HB31" s="235"/>
      <c r="HC31" s="235"/>
      <c r="HD31" s="235"/>
      <c r="HE31" s="235"/>
      <c r="HF31" s="235"/>
      <c r="HG31" s="235"/>
      <c r="HH31" s="235"/>
      <c r="HI31" s="235"/>
      <c r="HJ31" s="235"/>
      <c r="HK31" s="235"/>
      <c r="HL31" s="235"/>
      <c r="HM31" s="235"/>
      <c r="HN31" s="235"/>
      <c r="HO31" s="235"/>
      <c r="HP31" s="235"/>
      <c r="HQ31" s="235"/>
      <c r="HR31" s="235"/>
      <c r="HS31" s="235"/>
      <c r="HT31" s="235"/>
      <c r="HU31" s="235"/>
      <c r="HV31" s="235"/>
      <c r="HW31" s="235"/>
      <c r="HX31" s="235"/>
      <c r="HY31" s="235"/>
      <c r="HZ31" s="235"/>
      <c r="IA31" s="235"/>
      <c r="IB31" s="235"/>
      <c r="IC31" s="235"/>
      <c r="ID31" s="235"/>
      <c r="IE31" s="235"/>
      <c r="IF31" s="235"/>
      <c r="IG31" s="235"/>
      <c r="IH31" s="235"/>
      <c r="II31" s="235"/>
      <c r="IJ31" s="235"/>
      <c r="IK31" s="235"/>
      <c r="IL31" s="235"/>
      <c r="IM31" s="235"/>
      <c r="IN31" s="235"/>
      <c r="IO31" s="235"/>
      <c r="IP31" s="235"/>
      <c r="IQ31" s="235"/>
      <c r="IR31" s="235"/>
      <c r="IS31" s="235"/>
      <c r="IT31" s="235"/>
      <c r="IU31" s="235"/>
      <c r="IV31" s="235"/>
    </row>
    <row r="32" spans="1:256" customFormat="1" ht="14.45" customHeight="1">
      <c r="A32" s="343" t="s">
        <v>120</v>
      </c>
      <c r="B32" s="388">
        <v>0</v>
      </c>
      <c r="C32" s="338">
        <v>2726</v>
      </c>
      <c r="D32" s="499"/>
      <c r="E32" s="338">
        <v>2214</v>
      </c>
      <c r="F32" s="500"/>
      <c r="G32" s="235"/>
      <c r="H32" s="456"/>
      <c r="I32" s="338"/>
      <c r="J32" s="342"/>
      <c r="K32" s="338"/>
      <c r="L32" s="338"/>
      <c r="M32" s="342"/>
      <c r="N32" s="529"/>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c r="BS32" s="235"/>
      <c r="BT32" s="235"/>
      <c r="BU32" s="235"/>
      <c r="BV32" s="235"/>
      <c r="BW32" s="235"/>
      <c r="BX32" s="235"/>
      <c r="BY32" s="235"/>
      <c r="BZ32" s="235"/>
      <c r="CA32" s="235"/>
      <c r="CB32" s="235"/>
      <c r="CC32" s="235"/>
      <c r="CD32" s="235"/>
      <c r="CE32" s="235"/>
      <c r="CF32" s="235"/>
      <c r="CG32" s="235"/>
      <c r="CH32" s="235"/>
      <c r="CI32" s="235"/>
      <c r="CJ32" s="235"/>
      <c r="CK32" s="235"/>
      <c r="CL32" s="235"/>
      <c r="CM32" s="235"/>
      <c r="CN32" s="235"/>
      <c r="CO32" s="235"/>
      <c r="CP32" s="235"/>
      <c r="CQ32" s="235"/>
      <c r="CR32" s="235"/>
      <c r="CS32" s="235"/>
      <c r="CT32" s="235"/>
      <c r="CU32" s="235"/>
      <c r="CV32" s="235"/>
      <c r="CW32" s="235"/>
      <c r="CX32" s="235"/>
      <c r="CY32" s="235"/>
      <c r="CZ32" s="235"/>
      <c r="DA32" s="235"/>
      <c r="DB32" s="235"/>
      <c r="DC32" s="235"/>
      <c r="DD32" s="235"/>
      <c r="DE32" s="235"/>
      <c r="DF32" s="235"/>
      <c r="DG32" s="235"/>
      <c r="DH32" s="235"/>
      <c r="DI32" s="235"/>
      <c r="DJ32" s="235"/>
      <c r="DK32" s="235"/>
      <c r="DL32" s="235"/>
      <c r="DM32" s="235"/>
      <c r="DN32" s="235"/>
      <c r="DO32" s="235"/>
      <c r="DP32" s="235"/>
      <c r="DQ32" s="235"/>
      <c r="DR32" s="235"/>
      <c r="DS32" s="235"/>
      <c r="DT32" s="235"/>
      <c r="DU32" s="235"/>
      <c r="DV32" s="235"/>
      <c r="DW32" s="235"/>
      <c r="DX32" s="235"/>
      <c r="DY32" s="235"/>
      <c r="DZ32" s="235"/>
      <c r="EA32" s="235"/>
      <c r="EB32" s="235"/>
      <c r="EC32" s="235"/>
      <c r="ED32" s="235"/>
      <c r="EE32" s="235"/>
      <c r="EF32" s="235"/>
      <c r="EG32" s="235"/>
      <c r="EH32" s="235"/>
      <c r="EI32" s="235"/>
      <c r="EJ32" s="235"/>
      <c r="EK32" s="235"/>
      <c r="EL32" s="235"/>
      <c r="EM32" s="235"/>
      <c r="EN32" s="235"/>
      <c r="EO32" s="235"/>
      <c r="EP32" s="235"/>
      <c r="EQ32" s="235"/>
      <c r="ER32" s="235"/>
      <c r="ES32" s="235"/>
      <c r="ET32" s="235"/>
      <c r="EU32" s="235"/>
      <c r="EV32" s="235"/>
      <c r="EW32" s="235"/>
      <c r="EX32" s="235"/>
      <c r="EY32" s="235"/>
      <c r="EZ32" s="235"/>
      <c r="FA32" s="235"/>
      <c r="FB32" s="235"/>
      <c r="FC32" s="235"/>
      <c r="FD32" s="235"/>
      <c r="FE32" s="235"/>
      <c r="FF32" s="235"/>
      <c r="FG32" s="235"/>
      <c r="FH32" s="235"/>
      <c r="FI32" s="235"/>
      <c r="FJ32" s="235"/>
      <c r="FK32" s="235"/>
      <c r="FL32" s="235"/>
      <c r="FM32" s="235"/>
      <c r="FN32" s="235"/>
      <c r="FO32" s="235"/>
      <c r="FP32" s="235"/>
      <c r="FQ32" s="235"/>
      <c r="FR32" s="235"/>
      <c r="FS32" s="235"/>
      <c r="FT32" s="235"/>
      <c r="FU32" s="235"/>
      <c r="FV32" s="235"/>
      <c r="FW32" s="235"/>
      <c r="FX32" s="235"/>
      <c r="FY32" s="235"/>
      <c r="FZ32" s="235"/>
      <c r="GA32" s="235"/>
      <c r="GB32" s="235"/>
      <c r="GC32" s="235"/>
      <c r="GD32" s="235"/>
      <c r="GE32" s="235"/>
      <c r="GF32" s="235"/>
      <c r="GG32" s="235"/>
      <c r="GH32" s="235"/>
      <c r="GI32" s="235"/>
      <c r="GJ32" s="235"/>
      <c r="GK32" s="235"/>
      <c r="GL32" s="235"/>
      <c r="GM32" s="235"/>
      <c r="GN32" s="235"/>
      <c r="GO32" s="235"/>
      <c r="GP32" s="235"/>
      <c r="GQ32" s="235"/>
      <c r="GR32" s="235"/>
      <c r="GS32" s="235"/>
      <c r="GT32" s="235"/>
      <c r="GU32" s="235"/>
      <c r="GV32" s="235"/>
      <c r="GW32" s="235"/>
      <c r="GX32" s="235"/>
      <c r="GY32" s="235"/>
      <c r="GZ32" s="235"/>
      <c r="HA32" s="235"/>
      <c r="HB32" s="235"/>
      <c r="HC32" s="235"/>
      <c r="HD32" s="235"/>
      <c r="HE32" s="235"/>
      <c r="HF32" s="235"/>
      <c r="HG32" s="235"/>
      <c r="HH32" s="235"/>
      <c r="HI32" s="235"/>
      <c r="HJ32" s="235"/>
      <c r="HK32" s="235"/>
      <c r="HL32" s="235"/>
      <c r="HM32" s="235"/>
      <c r="HN32" s="235"/>
      <c r="HO32" s="235"/>
      <c r="HP32" s="235"/>
      <c r="HQ32" s="235"/>
      <c r="HR32" s="235"/>
      <c r="HS32" s="235"/>
      <c r="HT32" s="235"/>
      <c r="HU32" s="235"/>
      <c r="HV32" s="235"/>
      <c r="HW32" s="235"/>
      <c r="HX32" s="235"/>
      <c r="HY32" s="235"/>
      <c r="HZ32" s="235"/>
      <c r="IA32" s="235"/>
      <c r="IB32" s="235"/>
      <c r="IC32" s="235"/>
      <c r="ID32" s="235"/>
      <c r="IE32" s="235"/>
      <c r="IF32" s="235"/>
      <c r="IG32" s="235"/>
      <c r="IH32" s="235"/>
      <c r="II32" s="235"/>
      <c r="IJ32" s="235"/>
      <c r="IK32" s="235"/>
      <c r="IL32" s="235"/>
      <c r="IM32" s="235"/>
      <c r="IN32" s="235"/>
      <c r="IO32" s="235"/>
      <c r="IP32" s="235"/>
      <c r="IQ32" s="235"/>
      <c r="IR32" s="235"/>
      <c r="IS32" s="235"/>
      <c r="IT32" s="235"/>
      <c r="IU32" s="235"/>
      <c r="IV32" s="235"/>
    </row>
    <row r="33" spans="1:256" customFormat="1" ht="14.45" customHeight="1">
      <c r="A33" s="337" t="s">
        <v>121</v>
      </c>
      <c r="B33" s="388">
        <v>55536</v>
      </c>
      <c r="C33" s="338">
        <v>57797</v>
      </c>
      <c r="D33" s="499">
        <f t="shared" ref="D33:D36" si="11">C33/B33*100</f>
        <v>104.07123307404207</v>
      </c>
      <c r="E33" s="338">
        <v>54481</v>
      </c>
      <c r="F33" s="500">
        <f t="shared" ref="F33" si="12">+(C33-E33)/E33*100</f>
        <v>6.0865255777243448</v>
      </c>
      <c r="G33" s="235"/>
      <c r="H33" s="456"/>
      <c r="I33" s="338"/>
      <c r="J33" s="342"/>
      <c r="K33" s="338"/>
      <c r="L33" s="338"/>
      <c r="M33" s="342"/>
      <c r="N33" s="526"/>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5"/>
      <c r="BT33" s="235"/>
      <c r="BU33" s="235"/>
      <c r="BV33" s="235"/>
      <c r="BW33" s="235"/>
      <c r="BX33" s="235"/>
      <c r="BY33" s="235"/>
      <c r="BZ33" s="235"/>
      <c r="CA33" s="235"/>
      <c r="CB33" s="235"/>
      <c r="CC33" s="235"/>
      <c r="CD33" s="235"/>
      <c r="CE33" s="235"/>
      <c r="CF33" s="235"/>
      <c r="CG33" s="235"/>
      <c r="CH33" s="235"/>
      <c r="CI33" s="235"/>
      <c r="CJ33" s="235"/>
      <c r="CK33" s="235"/>
      <c r="CL33" s="235"/>
      <c r="CM33" s="235"/>
      <c r="CN33" s="235"/>
      <c r="CO33" s="235"/>
      <c r="CP33" s="235"/>
      <c r="CQ33" s="235"/>
      <c r="CR33" s="235"/>
      <c r="CS33" s="235"/>
      <c r="CT33" s="235"/>
      <c r="CU33" s="235"/>
      <c r="CV33" s="235"/>
      <c r="CW33" s="235"/>
      <c r="CX33" s="235"/>
      <c r="CY33" s="235"/>
      <c r="CZ33" s="235"/>
      <c r="DA33" s="235"/>
      <c r="DB33" s="235"/>
      <c r="DC33" s="235"/>
      <c r="DD33" s="235"/>
      <c r="DE33" s="235"/>
      <c r="DF33" s="235"/>
      <c r="DG33" s="235"/>
      <c r="DH33" s="235"/>
      <c r="DI33" s="235"/>
      <c r="DJ33" s="235"/>
      <c r="DK33" s="235"/>
      <c r="DL33" s="235"/>
      <c r="DM33" s="235"/>
      <c r="DN33" s="235"/>
      <c r="DO33" s="235"/>
      <c r="DP33" s="235"/>
      <c r="DQ33" s="235"/>
      <c r="DR33" s="235"/>
      <c r="DS33" s="235"/>
      <c r="DT33" s="235"/>
      <c r="DU33" s="235"/>
      <c r="DV33" s="235"/>
      <c r="DW33" s="235"/>
      <c r="DX33" s="235"/>
      <c r="DY33" s="235"/>
      <c r="DZ33" s="235"/>
      <c r="EA33" s="235"/>
      <c r="EB33" s="235"/>
      <c r="EC33" s="235"/>
      <c r="ED33" s="235"/>
      <c r="EE33" s="235"/>
      <c r="EF33" s="235"/>
      <c r="EG33" s="235"/>
      <c r="EH33" s="235"/>
      <c r="EI33" s="235"/>
      <c r="EJ33" s="235"/>
      <c r="EK33" s="235"/>
      <c r="EL33" s="235"/>
      <c r="EM33" s="235"/>
      <c r="EN33" s="235"/>
      <c r="EO33" s="235"/>
      <c r="EP33" s="235"/>
      <c r="EQ33" s="235"/>
      <c r="ER33" s="235"/>
      <c r="ES33" s="235"/>
      <c r="ET33" s="235"/>
      <c r="EU33" s="235"/>
      <c r="EV33" s="235"/>
      <c r="EW33" s="235"/>
      <c r="EX33" s="235"/>
      <c r="EY33" s="235"/>
      <c r="EZ33" s="235"/>
      <c r="FA33" s="235"/>
      <c r="FB33" s="235"/>
      <c r="FC33" s="235"/>
      <c r="FD33" s="235"/>
      <c r="FE33" s="235"/>
      <c r="FF33" s="235"/>
      <c r="FG33" s="235"/>
      <c r="FH33" s="235"/>
      <c r="FI33" s="235"/>
      <c r="FJ33" s="235"/>
      <c r="FK33" s="235"/>
      <c r="FL33" s="235"/>
      <c r="FM33" s="235"/>
      <c r="FN33" s="235"/>
      <c r="FO33" s="235"/>
      <c r="FP33" s="235"/>
      <c r="FQ33" s="235"/>
      <c r="FR33" s="235"/>
      <c r="FS33" s="235"/>
      <c r="FT33" s="235"/>
      <c r="FU33" s="235"/>
      <c r="FV33" s="235"/>
      <c r="FW33" s="235"/>
      <c r="FX33" s="235"/>
      <c r="FY33" s="235"/>
      <c r="FZ33" s="235"/>
      <c r="GA33" s="235"/>
      <c r="GB33" s="235"/>
      <c r="GC33" s="235"/>
      <c r="GD33" s="235"/>
      <c r="GE33" s="235"/>
      <c r="GF33" s="235"/>
      <c r="GG33" s="235"/>
      <c r="GH33" s="235"/>
      <c r="GI33" s="235"/>
      <c r="GJ33" s="235"/>
      <c r="GK33" s="235"/>
      <c r="GL33" s="235"/>
      <c r="GM33" s="235"/>
      <c r="GN33" s="235"/>
      <c r="GO33" s="235"/>
      <c r="GP33" s="235"/>
      <c r="GQ33" s="235"/>
      <c r="GR33" s="235"/>
      <c r="GS33" s="235"/>
      <c r="GT33" s="235"/>
      <c r="GU33" s="235"/>
      <c r="GV33" s="235"/>
      <c r="GW33" s="235"/>
      <c r="GX33" s="235"/>
      <c r="GY33" s="235"/>
      <c r="GZ33" s="235"/>
      <c r="HA33" s="235"/>
      <c r="HB33" s="235"/>
      <c r="HC33" s="235"/>
      <c r="HD33" s="235"/>
      <c r="HE33" s="235"/>
      <c r="HF33" s="235"/>
      <c r="HG33" s="235"/>
      <c r="HH33" s="235"/>
      <c r="HI33" s="235"/>
      <c r="HJ33" s="235"/>
      <c r="HK33" s="235"/>
      <c r="HL33" s="235"/>
      <c r="HM33" s="235"/>
      <c r="HN33" s="235"/>
      <c r="HO33" s="235"/>
      <c r="HP33" s="235"/>
      <c r="HQ33" s="235"/>
      <c r="HR33" s="235"/>
      <c r="HS33" s="235"/>
      <c r="HT33" s="235"/>
      <c r="HU33" s="235"/>
      <c r="HV33" s="235"/>
      <c r="HW33" s="235"/>
      <c r="HX33" s="235"/>
      <c r="HY33" s="235"/>
      <c r="HZ33" s="235"/>
      <c r="IA33" s="235"/>
      <c r="IB33" s="235"/>
      <c r="IC33" s="235"/>
      <c r="ID33" s="235"/>
      <c r="IE33" s="235"/>
      <c r="IF33" s="235"/>
      <c r="IG33" s="235"/>
      <c r="IH33" s="235"/>
      <c r="II33" s="235"/>
      <c r="IJ33" s="235"/>
      <c r="IK33" s="235"/>
      <c r="IL33" s="235"/>
      <c r="IM33" s="235"/>
      <c r="IN33" s="235"/>
      <c r="IO33" s="235"/>
      <c r="IP33" s="235"/>
      <c r="IQ33" s="235"/>
      <c r="IR33" s="235"/>
      <c r="IS33" s="235"/>
      <c r="IT33" s="235"/>
      <c r="IU33" s="235"/>
      <c r="IV33" s="235"/>
    </row>
    <row r="34" spans="1:256" customFormat="1" ht="14.45" customHeight="1">
      <c r="A34" s="337" t="s">
        <v>122</v>
      </c>
      <c r="B34" s="388">
        <v>129417</v>
      </c>
      <c r="C34" s="338">
        <v>140952</v>
      </c>
      <c r="D34" s="499">
        <f t="shared" si="11"/>
        <v>108.91304851758269</v>
      </c>
      <c r="E34" s="338">
        <v>109459</v>
      </c>
      <c r="F34" s="500">
        <f t="shared" ref="F34:F40" si="13">+(C34-E34)/E34*100</f>
        <v>28.771503485323276</v>
      </c>
      <c r="G34" s="235"/>
      <c r="H34" s="456"/>
      <c r="I34" s="338"/>
      <c r="J34" s="342"/>
      <c r="K34" s="338"/>
      <c r="L34" s="338"/>
      <c r="M34" s="342"/>
      <c r="N34" s="526"/>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5"/>
      <c r="BQ34" s="235"/>
      <c r="BR34" s="235"/>
      <c r="BS34" s="235"/>
      <c r="BT34" s="235"/>
      <c r="BU34" s="235"/>
      <c r="BV34" s="235"/>
      <c r="BW34" s="235"/>
      <c r="BX34" s="235"/>
      <c r="BY34" s="235"/>
      <c r="BZ34" s="235"/>
      <c r="CA34" s="235"/>
      <c r="CB34" s="235"/>
      <c r="CC34" s="235"/>
      <c r="CD34" s="235"/>
      <c r="CE34" s="235"/>
      <c r="CF34" s="235"/>
      <c r="CG34" s="235"/>
      <c r="CH34" s="235"/>
      <c r="CI34" s="235"/>
      <c r="CJ34" s="235"/>
      <c r="CK34" s="235"/>
      <c r="CL34" s="235"/>
      <c r="CM34" s="235"/>
      <c r="CN34" s="235"/>
      <c r="CO34" s="235"/>
      <c r="CP34" s="235"/>
      <c r="CQ34" s="235"/>
      <c r="CR34" s="235"/>
      <c r="CS34" s="235"/>
      <c r="CT34" s="235"/>
      <c r="CU34" s="235"/>
      <c r="CV34" s="235"/>
      <c r="CW34" s="235"/>
      <c r="CX34" s="235"/>
      <c r="CY34" s="235"/>
      <c r="CZ34" s="235"/>
      <c r="DA34" s="235"/>
      <c r="DB34" s="235"/>
      <c r="DC34" s="235"/>
      <c r="DD34" s="235"/>
      <c r="DE34" s="235"/>
      <c r="DF34" s="235"/>
      <c r="DG34" s="235"/>
      <c r="DH34" s="235"/>
      <c r="DI34" s="235"/>
      <c r="DJ34" s="235"/>
      <c r="DK34" s="235"/>
      <c r="DL34" s="235"/>
      <c r="DM34" s="235"/>
      <c r="DN34" s="235"/>
      <c r="DO34" s="235"/>
      <c r="DP34" s="235"/>
      <c r="DQ34" s="235"/>
      <c r="DR34" s="235"/>
      <c r="DS34" s="235"/>
      <c r="DT34" s="235"/>
      <c r="DU34" s="235"/>
      <c r="DV34" s="235"/>
      <c r="DW34" s="235"/>
      <c r="DX34" s="235"/>
      <c r="DY34" s="235"/>
      <c r="DZ34" s="235"/>
      <c r="EA34" s="235"/>
      <c r="EB34" s="235"/>
      <c r="EC34" s="235"/>
      <c r="ED34" s="235"/>
      <c r="EE34" s="235"/>
      <c r="EF34" s="235"/>
      <c r="EG34" s="235"/>
      <c r="EH34" s="235"/>
      <c r="EI34" s="235"/>
      <c r="EJ34" s="235"/>
      <c r="EK34" s="235"/>
      <c r="EL34" s="235"/>
      <c r="EM34" s="235"/>
      <c r="EN34" s="235"/>
      <c r="EO34" s="235"/>
      <c r="EP34" s="235"/>
      <c r="EQ34" s="235"/>
      <c r="ER34" s="235"/>
      <c r="ES34" s="235"/>
      <c r="ET34" s="235"/>
      <c r="EU34" s="235"/>
      <c r="EV34" s="235"/>
      <c r="EW34" s="235"/>
      <c r="EX34" s="235"/>
      <c r="EY34" s="235"/>
      <c r="EZ34" s="235"/>
      <c r="FA34" s="235"/>
      <c r="FB34" s="235"/>
      <c r="FC34" s="235"/>
      <c r="FD34" s="235"/>
      <c r="FE34" s="235"/>
      <c r="FF34" s="235"/>
      <c r="FG34" s="235"/>
      <c r="FH34" s="235"/>
      <c r="FI34" s="235"/>
      <c r="FJ34" s="235"/>
      <c r="FK34" s="235"/>
      <c r="FL34" s="235"/>
      <c r="FM34" s="235"/>
      <c r="FN34" s="235"/>
      <c r="FO34" s="235"/>
      <c r="FP34" s="235"/>
      <c r="FQ34" s="235"/>
      <c r="FR34" s="235"/>
      <c r="FS34" s="235"/>
      <c r="FT34" s="235"/>
      <c r="FU34" s="235"/>
      <c r="FV34" s="235"/>
      <c r="FW34" s="235"/>
      <c r="FX34" s="235"/>
      <c r="FY34" s="235"/>
      <c r="FZ34" s="235"/>
      <c r="GA34" s="235"/>
      <c r="GB34" s="235"/>
      <c r="GC34" s="235"/>
      <c r="GD34" s="235"/>
      <c r="GE34" s="235"/>
      <c r="GF34" s="235"/>
      <c r="GG34" s="235"/>
      <c r="GH34" s="235"/>
      <c r="GI34" s="235"/>
      <c r="GJ34" s="235"/>
      <c r="GK34" s="235"/>
      <c r="GL34" s="235"/>
      <c r="GM34" s="235"/>
      <c r="GN34" s="235"/>
      <c r="GO34" s="235"/>
      <c r="GP34" s="235"/>
      <c r="GQ34" s="235"/>
      <c r="GR34" s="235"/>
      <c r="GS34" s="235"/>
      <c r="GT34" s="235"/>
      <c r="GU34" s="235"/>
      <c r="GV34" s="235"/>
      <c r="GW34" s="235"/>
      <c r="GX34" s="235"/>
      <c r="GY34" s="235"/>
      <c r="GZ34" s="235"/>
      <c r="HA34" s="235"/>
      <c r="HB34" s="235"/>
      <c r="HC34" s="235"/>
      <c r="HD34" s="235"/>
      <c r="HE34" s="235"/>
      <c r="HF34" s="235"/>
      <c r="HG34" s="235"/>
      <c r="HH34" s="235"/>
      <c r="HI34" s="235"/>
      <c r="HJ34" s="235"/>
      <c r="HK34" s="235"/>
      <c r="HL34" s="235"/>
      <c r="HM34" s="235"/>
      <c r="HN34" s="235"/>
      <c r="HO34" s="235"/>
      <c r="HP34" s="235"/>
      <c r="HQ34" s="235"/>
      <c r="HR34" s="235"/>
      <c r="HS34" s="235"/>
      <c r="HT34" s="235"/>
      <c r="HU34" s="235"/>
      <c r="HV34" s="235"/>
      <c r="HW34" s="235"/>
      <c r="HX34" s="235"/>
      <c r="HY34" s="235"/>
      <c r="HZ34" s="235"/>
      <c r="IA34" s="235"/>
      <c r="IB34" s="235"/>
      <c r="IC34" s="235"/>
      <c r="ID34" s="235"/>
      <c r="IE34" s="235"/>
      <c r="IF34" s="235"/>
      <c r="IG34" s="235"/>
      <c r="IH34" s="235"/>
      <c r="II34" s="235"/>
      <c r="IJ34" s="235"/>
      <c r="IK34" s="235"/>
      <c r="IL34" s="235"/>
      <c r="IM34" s="235"/>
      <c r="IN34" s="235"/>
      <c r="IO34" s="235"/>
      <c r="IP34" s="235"/>
      <c r="IQ34" s="235"/>
      <c r="IR34" s="235"/>
      <c r="IS34" s="235"/>
      <c r="IT34" s="235"/>
      <c r="IU34" s="235"/>
      <c r="IV34" s="235"/>
    </row>
    <row r="35" spans="1:256" customFormat="1" ht="14.45" customHeight="1">
      <c r="A35" s="343" t="s">
        <v>123</v>
      </c>
      <c r="B35" s="388">
        <f>SUM(B36:B40)</f>
        <v>101870</v>
      </c>
      <c r="C35" s="339">
        <f>SUM(C36:C41)</f>
        <v>104064</v>
      </c>
      <c r="D35" s="499">
        <f t="shared" si="11"/>
        <v>102.15372533621283</v>
      </c>
      <c r="E35" s="339">
        <f>SUM(E36:E41)</f>
        <v>90055</v>
      </c>
      <c r="F35" s="500">
        <f t="shared" si="13"/>
        <v>15.556049081117095</v>
      </c>
      <c r="G35" s="235"/>
      <c r="H35" s="456"/>
      <c r="I35" s="338"/>
      <c r="J35" s="338"/>
      <c r="K35" s="338"/>
      <c r="L35" s="338"/>
      <c r="M35" s="338"/>
      <c r="N35" s="529"/>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5"/>
      <c r="BS35" s="235"/>
      <c r="BT35" s="235"/>
      <c r="BU35" s="235"/>
      <c r="BV35" s="235"/>
      <c r="BW35" s="235"/>
      <c r="BX35" s="235"/>
      <c r="BY35" s="235"/>
      <c r="BZ35" s="235"/>
      <c r="CA35" s="235"/>
      <c r="CB35" s="235"/>
      <c r="CC35" s="235"/>
      <c r="CD35" s="235"/>
      <c r="CE35" s="235"/>
      <c r="CF35" s="235"/>
      <c r="CG35" s="235"/>
      <c r="CH35" s="235"/>
      <c r="CI35" s="235"/>
      <c r="CJ35" s="235"/>
      <c r="CK35" s="235"/>
      <c r="CL35" s="235"/>
      <c r="CM35" s="235"/>
      <c r="CN35" s="235"/>
      <c r="CO35" s="235"/>
      <c r="CP35" s="235"/>
      <c r="CQ35" s="235"/>
      <c r="CR35" s="235"/>
      <c r="CS35" s="235"/>
      <c r="CT35" s="235"/>
      <c r="CU35" s="235"/>
      <c r="CV35" s="235"/>
      <c r="CW35" s="235"/>
      <c r="CX35" s="235"/>
      <c r="CY35" s="235"/>
      <c r="CZ35" s="235"/>
      <c r="DA35" s="235"/>
      <c r="DB35" s="235"/>
      <c r="DC35" s="235"/>
      <c r="DD35" s="235"/>
      <c r="DE35" s="235"/>
      <c r="DF35" s="235"/>
      <c r="DG35" s="235"/>
      <c r="DH35" s="235"/>
      <c r="DI35" s="235"/>
      <c r="DJ35" s="235"/>
      <c r="DK35" s="235"/>
      <c r="DL35" s="235"/>
      <c r="DM35" s="235"/>
      <c r="DN35" s="235"/>
      <c r="DO35" s="235"/>
      <c r="DP35" s="235"/>
      <c r="DQ35" s="235"/>
      <c r="DR35" s="235"/>
      <c r="DS35" s="235"/>
      <c r="DT35" s="235"/>
      <c r="DU35" s="235"/>
      <c r="DV35" s="235"/>
      <c r="DW35" s="235"/>
      <c r="DX35" s="235"/>
      <c r="DY35" s="235"/>
      <c r="DZ35" s="235"/>
      <c r="EA35" s="235"/>
      <c r="EB35" s="235"/>
      <c r="EC35" s="235"/>
      <c r="ED35" s="235"/>
      <c r="EE35" s="235"/>
      <c r="EF35" s="235"/>
      <c r="EG35" s="235"/>
      <c r="EH35" s="235"/>
      <c r="EI35" s="235"/>
      <c r="EJ35" s="235"/>
      <c r="EK35" s="235"/>
      <c r="EL35" s="235"/>
      <c r="EM35" s="235"/>
      <c r="EN35" s="235"/>
      <c r="EO35" s="235"/>
      <c r="EP35" s="235"/>
      <c r="EQ35" s="235"/>
      <c r="ER35" s="235"/>
      <c r="ES35" s="235"/>
      <c r="ET35" s="235"/>
      <c r="EU35" s="235"/>
      <c r="EV35" s="235"/>
      <c r="EW35" s="235"/>
      <c r="EX35" s="235"/>
      <c r="EY35" s="235"/>
      <c r="EZ35" s="235"/>
      <c r="FA35" s="235"/>
      <c r="FB35" s="235"/>
      <c r="FC35" s="235"/>
      <c r="FD35" s="235"/>
      <c r="FE35" s="235"/>
      <c r="FF35" s="235"/>
      <c r="FG35" s="235"/>
      <c r="FH35" s="235"/>
      <c r="FI35" s="235"/>
      <c r="FJ35" s="235"/>
      <c r="FK35" s="235"/>
      <c r="FL35" s="235"/>
      <c r="FM35" s="235"/>
      <c r="FN35" s="235"/>
      <c r="FO35" s="235"/>
      <c r="FP35" s="235"/>
      <c r="FQ35" s="235"/>
      <c r="FR35" s="235"/>
      <c r="FS35" s="235"/>
      <c r="FT35" s="235"/>
      <c r="FU35" s="235"/>
      <c r="FV35" s="235"/>
      <c r="FW35" s="235"/>
      <c r="FX35" s="235"/>
      <c r="FY35" s="235"/>
      <c r="FZ35" s="235"/>
      <c r="GA35" s="235"/>
      <c r="GB35" s="235"/>
      <c r="GC35" s="235"/>
      <c r="GD35" s="235"/>
      <c r="GE35" s="235"/>
      <c r="GF35" s="235"/>
      <c r="GG35" s="235"/>
      <c r="GH35" s="235"/>
      <c r="GI35" s="235"/>
      <c r="GJ35" s="235"/>
      <c r="GK35" s="235"/>
      <c r="GL35" s="235"/>
      <c r="GM35" s="235"/>
      <c r="GN35" s="235"/>
      <c r="GO35" s="235"/>
      <c r="GP35" s="235"/>
      <c r="GQ35" s="235"/>
      <c r="GR35" s="235"/>
      <c r="GS35" s="235"/>
      <c r="GT35" s="235"/>
      <c r="GU35" s="235"/>
      <c r="GV35" s="235"/>
      <c r="GW35" s="235"/>
      <c r="GX35" s="235"/>
      <c r="GY35" s="235"/>
      <c r="GZ35" s="235"/>
      <c r="HA35" s="235"/>
      <c r="HB35" s="235"/>
      <c r="HC35" s="235"/>
      <c r="HD35" s="235"/>
      <c r="HE35" s="235"/>
      <c r="HF35" s="235"/>
      <c r="HG35" s="235"/>
      <c r="HH35" s="235"/>
      <c r="HI35" s="235"/>
      <c r="HJ35" s="235"/>
      <c r="HK35" s="235"/>
      <c r="HL35" s="235"/>
      <c r="HM35" s="235"/>
      <c r="HN35" s="235"/>
      <c r="HO35" s="235"/>
      <c r="HP35" s="235"/>
      <c r="HQ35" s="235"/>
      <c r="HR35" s="235"/>
      <c r="HS35" s="235"/>
      <c r="HT35" s="235"/>
      <c r="HU35" s="235"/>
      <c r="HV35" s="235"/>
      <c r="HW35" s="235"/>
      <c r="HX35" s="235"/>
      <c r="HY35" s="235"/>
      <c r="HZ35" s="235"/>
      <c r="IA35" s="235"/>
      <c r="IB35" s="235"/>
      <c r="IC35" s="235"/>
      <c r="ID35" s="235"/>
      <c r="IE35" s="235"/>
      <c r="IF35" s="235"/>
      <c r="IG35" s="235"/>
      <c r="IH35" s="235"/>
      <c r="II35" s="235"/>
      <c r="IJ35" s="235"/>
      <c r="IK35" s="235"/>
      <c r="IL35" s="235"/>
      <c r="IM35" s="235"/>
      <c r="IN35" s="235"/>
      <c r="IO35" s="235"/>
      <c r="IP35" s="235"/>
      <c r="IQ35" s="235"/>
      <c r="IR35" s="235"/>
      <c r="IS35" s="235"/>
      <c r="IT35" s="235"/>
      <c r="IU35" s="235"/>
      <c r="IV35" s="235"/>
    </row>
    <row r="36" spans="1:256" customFormat="1" ht="14.45" customHeight="1">
      <c r="A36" s="337" t="s">
        <v>124</v>
      </c>
      <c r="B36" s="388">
        <v>59542</v>
      </c>
      <c r="C36" s="338">
        <v>60580</v>
      </c>
      <c r="D36" s="499">
        <f t="shared" si="11"/>
        <v>101.74330724530583</v>
      </c>
      <c r="E36" s="338">
        <v>53845</v>
      </c>
      <c r="F36" s="500">
        <f t="shared" si="13"/>
        <v>12.508125174110873</v>
      </c>
      <c r="G36" s="235"/>
      <c r="H36" s="456"/>
      <c r="I36" s="338"/>
      <c r="J36" s="506"/>
      <c r="K36" s="338"/>
      <c r="L36" s="338"/>
      <c r="M36" s="506"/>
      <c r="N36" s="526"/>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5"/>
      <c r="BQ36" s="235"/>
      <c r="BR36" s="235"/>
      <c r="BS36" s="235"/>
      <c r="BT36" s="235"/>
      <c r="BU36" s="235"/>
      <c r="BV36" s="235"/>
      <c r="BW36" s="235"/>
      <c r="BX36" s="235"/>
      <c r="BY36" s="235"/>
      <c r="BZ36" s="235"/>
      <c r="CA36" s="235"/>
      <c r="CB36" s="235"/>
      <c r="CC36" s="235"/>
      <c r="CD36" s="235"/>
      <c r="CE36" s="235"/>
      <c r="CF36" s="235"/>
      <c r="CG36" s="235"/>
      <c r="CH36" s="235"/>
      <c r="CI36" s="235"/>
      <c r="CJ36" s="235"/>
      <c r="CK36" s="235"/>
      <c r="CL36" s="235"/>
      <c r="CM36" s="235"/>
      <c r="CN36" s="235"/>
      <c r="CO36" s="235"/>
      <c r="CP36" s="235"/>
      <c r="CQ36" s="235"/>
      <c r="CR36" s="235"/>
      <c r="CS36" s="235"/>
      <c r="CT36" s="235"/>
      <c r="CU36" s="235"/>
      <c r="CV36" s="235"/>
      <c r="CW36" s="235"/>
      <c r="CX36" s="235"/>
      <c r="CY36" s="235"/>
      <c r="CZ36" s="235"/>
      <c r="DA36" s="235"/>
      <c r="DB36" s="235"/>
      <c r="DC36" s="235"/>
      <c r="DD36" s="235"/>
      <c r="DE36" s="235"/>
      <c r="DF36" s="235"/>
      <c r="DG36" s="235"/>
      <c r="DH36" s="235"/>
      <c r="DI36" s="235"/>
      <c r="DJ36" s="235"/>
      <c r="DK36" s="235"/>
      <c r="DL36" s="235"/>
      <c r="DM36" s="235"/>
      <c r="DN36" s="235"/>
      <c r="DO36" s="235"/>
      <c r="DP36" s="235"/>
      <c r="DQ36" s="235"/>
      <c r="DR36" s="235"/>
      <c r="DS36" s="235"/>
      <c r="DT36" s="235"/>
      <c r="DU36" s="235"/>
      <c r="DV36" s="235"/>
      <c r="DW36" s="235"/>
      <c r="DX36" s="235"/>
      <c r="DY36" s="235"/>
      <c r="DZ36" s="235"/>
      <c r="EA36" s="235"/>
      <c r="EB36" s="235"/>
      <c r="EC36" s="235"/>
      <c r="ED36" s="235"/>
      <c r="EE36" s="235"/>
      <c r="EF36" s="235"/>
      <c r="EG36" s="235"/>
      <c r="EH36" s="235"/>
      <c r="EI36" s="235"/>
      <c r="EJ36" s="235"/>
      <c r="EK36" s="235"/>
      <c r="EL36" s="235"/>
      <c r="EM36" s="235"/>
      <c r="EN36" s="235"/>
      <c r="EO36" s="235"/>
      <c r="EP36" s="235"/>
      <c r="EQ36" s="235"/>
      <c r="ER36" s="235"/>
      <c r="ES36" s="235"/>
      <c r="ET36" s="235"/>
      <c r="EU36" s="235"/>
      <c r="EV36" s="235"/>
      <c r="EW36" s="235"/>
      <c r="EX36" s="235"/>
      <c r="EY36" s="235"/>
      <c r="EZ36" s="235"/>
      <c r="FA36" s="235"/>
      <c r="FB36" s="235"/>
      <c r="FC36" s="235"/>
      <c r="FD36" s="235"/>
      <c r="FE36" s="235"/>
      <c r="FF36" s="235"/>
      <c r="FG36" s="235"/>
      <c r="FH36" s="235"/>
      <c r="FI36" s="235"/>
      <c r="FJ36" s="235"/>
      <c r="FK36" s="235"/>
      <c r="FL36" s="235"/>
      <c r="FM36" s="235"/>
      <c r="FN36" s="235"/>
      <c r="FO36" s="235"/>
      <c r="FP36" s="235"/>
      <c r="FQ36" s="235"/>
      <c r="FR36" s="235"/>
      <c r="FS36" s="235"/>
      <c r="FT36" s="235"/>
      <c r="FU36" s="235"/>
      <c r="FV36" s="235"/>
      <c r="FW36" s="235"/>
      <c r="FX36" s="235"/>
      <c r="FY36" s="235"/>
      <c r="FZ36" s="235"/>
      <c r="GA36" s="235"/>
      <c r="GB36" s="235"/>
      <c r="GC36" s="235"/>
      <c r="GD36" s="235"/>
      <c r="GE36" s="235"/>
      <c r="GF36" s="235"/>
      <c r="GG36" s="235"/>
      <c r="GH36" s="235"/>
      <c r="GI36" s="235"/>
      <c r="GJ36" s="235"/>
      <c r="GK36" s="235"/>
      <c r="GL36" s="235"/>
      <c r="GM36" s="235"/>
      <c r="GN36" s="235"/>
      <c r="GO36" s="235"/>
      <c r="GP36" s="235"/>
      <c r="GQ36" s="235"/>
      <c r="GR36" s="235"/>
      <c r="GS36" s="235"/>
      <c r="GT36" s="235"/>
      <c r="GU36" s="235"/>
      <c r="GV36" s="235"/>
      <c r="GW36" s="235"/>
      <c r="GX36" s="235"/>
      <c r="GY36" s="235"/>
      <c r="GZ36" s="235"/>
      <c r="HA36" s="235"/>
      <c r="HB36" s="235"/>
      <c r="HC36" s="235"/>
      <c r="HD36" s="235"/>
      <c r="HE36" s="235"/>
      <c r="HF36" s="235"/>
      <c r="HG36" s="235"/>
      <c r="HH36" s="235"/>
      <c r="HI36" s="235"/>
      <c r="HJ36" s="235"/>
      <c r="HK36" s="235"/>
      <c r="HL36" s="235"/>
      <c r="HM36" s="235"/>
      <c r="HN36" s="235"/>
      <c r="HO36" s="235"/>
      <c r="HP36" s="235"/>
      <c r="HQ36" s="235"/>
      <c r="HR36" s="235"/>
      <c r="HS36" s="235"/>
      <c r="HT36" s="235"/>
      <c r="HU36" s="235"/>
      <c r="HV36" s="235"/>
      <c r="HW36" s="235"/>
      <c r="HX36" s="235"/>
      <c r="HY36" s="235"/>
      <c r="HZ36" s="235"/>
      <c r="IA36" s="235"/>
      <c r="IB36" s="235"/>
      <c r="IC36" s="235"/>
      <c r="ID36" s="235"/>
      <c r="IE36" s="235"/>
      <c r="IF36" s="235"/>
      <c r="IG36" s="235"/>
      <c r="IH36" s="235"/>
      <c r="II36" s="235"/>
      <c r="IJ36" s="235"/>
      <c r="IK36" s="235"/>
      <c r="IL36" s="235"/>
      <c r="IM36" s="235"/>
      <c r="IN36" s="235"/>
      <c r="IO36" s="235"/>
      <c r="IP36" s="235"/>
      <c r="IQ36" s="235"/>
      <c r="IR36" s="235"/>
      <c r="IS36" s="235"/>
      <c r="IT36" s="235"/>
      <c r="IU36" s="235"/>
      <c r="IV36" s="235"/>
    </row>
    <row r="37" spans="1:256" customFormat="1" ht="14.45" customHeight="1">
      <c r="A37" s="343" t="s">
        <v>125</v>
      </c>
      <c r="B37" s="388">
        <v>0</v>
      </c>
      <c r="C37" s="338">
        <v>683</v>
      </c>
      <c r="D37" s="499"/>
      <c r="E37" s="338">
        <v>554</v>
      </c>
      <c r="F37" s="500">
        <f t="shared" si="13"/>
        <v>23.285198555956679</v>
      </c>
      <c r="G37" s="235"/>
      <c r="H37" s="456"/>
      <c r="I37" s="338"/>
      <c r="J37" s="342"/>
      <c r="K37" s="338"/>
      <c r="L37" s="338"/>
      <c r="M37" s="342"/>
      <c r="N37" s="529"/>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5"/>
      <c r="BQ37" s="235"/>
      <c r="BR37" s="235"/>
      <c r="BS37" s="235"/>
      <c r="BT37" s="235"/>
      <c r="BU37" s="235"/>
      <c r="BV37" s="235"/>
      <c r="BW37" s="235"/>
      <c r="BX37" s="235"/>
      <c r="BY37" s="235"/>
      <c r="BZ37" s="235"/>
      <c r="CA37" s="235"/>
      <c r="CB37" s="235"/>
      <c r="CC37" s="235"/>
      <c r="CD37" s="235"/>
      <c r="CE37" s="235"/>
      <c r="CF37" s="235"/>
      <c r="CG37" s="235"/>
      <c r="CH37" s="235"/>
      <c r="CI37" s="235"/>
      <c r="CJ37" s="235"/>
      <c r="CK37" s="235"/>
      <c r="CL37" s="235"/>
      <c r="CM37" s="235"/>
      <c r="CN37" s="235"/>
      <c r="CO37" s="235"/>
      <c r="CP37" s="235"/>
      <c r="CQ37" s="235"/>
      <c r="CR37" s="235"/>
      <c r="CS37" s="235"/>
      <c r="CT37" s="235"/>
      <c r="CU37" s="235"/>
      <c r="CV37" s="235"/>
      <c r="CW37" s="235"/>
      <c r="CX37" s="235"/>
      <c r="CY37" s="235"/>
      <c r="CZ37" s="235"/>
      <c r="DA37" s="235"/>
      <c r="DB37" s="235"/>
      <c r="DC37" s="235"/>
      <c r="DD37" s="235"/>
      <c r="DE37" s="235"/>
      <c r="DF37" s="235"/>
      <c r="DG37" s="235"/>
      <c r="DH37" s="235"/>
      <c r="DI37" s="235"/>
      <c r="DJ37" s="235"/>
      <c r="DK37" s="235"/>
      <c r="DL37" s="235"/>
      <c r="DM37" s="235"/>
      <c r="DN37" s="235"/>
      <c r="DO37" s="235"/>
      <c r="DP37" s="235"/>
      <c r="DQ37" s="235"/>
      <c r="DR37" s="235"/>
      <c r="DS37" s="235"/>
      <c r="DT37" s="235"/>
      <c r="DU37" s="235"/>
      <c r="DV37" s="235"/>
      <c r="DW37" s="235"/>
      <c r="DX37" s="235"/>
      <c r="DY37" s="235"/>
      <c r="DZ37" s="235"/>
      <c r="EA37" s="235"/>
      <c r="EB37" s="235"/>
      <c r="EC37" s="235"/>
      <c r="ED37" s="235"/>
      <c r="EE37" s="235"/>
      <c r="EF37" s="235"/>
      <c r="EG37" s="235"/>
      <c r="EH37" s="235"/>
      <c r="EI37" s="235"/>
      <c r="EJ37" s="235"/>
      <c r="EK37" s="235"/>
      <c r="EL37" s="235"/>
      <c r="EM37" s="235"/>
      <c r="EN37" s="235"/>
      <c r="EO37" s="235"/>
      <c r="EP37" s="235"/>
      <c r="EQ37" s="235"/>
      <c r="ER37" s="235"/>
      <c r="ES37" s="235"/>
      <c r="ET37" s="235"/>
      <c r="EU37" s="235"/>
      <c r="EV37" s="235"/>
      <c r="EW37" s="235"/>
      <c r="EX37" s="235"/>
      <c r="EY37" s="235"/>
      <c r="EZ37" s="235"/>
      <c r="FA37" s="235"/>
      <c r="FB37" s="235"/>
      <c r="FC37" s="235"/>
      <c r="FD37" s="235"/>
      <c r="FE37" s="235"/>
      <c r="FF37" s="235"/>
      <c r="FG37" s="235"/>
      <c r="FH37" s="235"/>
      <c r="FI37" s="235"/>
      <c r="FJ37" s="235"/>
      <c r="FK37" s="235"/>
      <c r="FL37" s="235"/>
      <c r="FM37" s="235"/>
      <c r="FN37" s="235"/>
      <c r="FO37" s="235"/>
      <c r="FP37" s="235"/>
      <c r="FQ37" s="235"/>
      <c r="FR37" s="235"/>
      <c r="FS37" s="235"/>
      <c r="FT37" s="235"/>
      <c r="FU37" s="235"/>
      <c r="FV37" s="235"/>
      <c r="FW37" s="235"/>
      <c r="FX37" s="235"/>
      <c r="FY37" s="235"/>
      <c r="FZ37" s="235"/>
      <c r="GA37" s="235"/>
      <c r="GB37" s="235"/>
      <c r="GC37" s="235"/>
      <c r="GD37" s="235"/>
      <c r="GE37" s="235"/>
      <c r="GF37" s="235"/>
      <c r="GG37" s="235"/>
      <c r="GH37" s="235"/>
      <c r="GI37" s="235"/>
      <c r="GJ37" s="235"/>
      <c r="GK37" s="235"/>
      <c r="GL37" s="235"/>
      <c r="GM37" s="235"/>
      <c r="GN37" s="235"/>
      <c r="GO37" s="235"/>
      <c r="GP37" s="235"/>
      <c r="GQ37" s="235"/>
      <c r="GR37" s="235"/>
      <c r="GS37" s="235"/>
      <c r="GT37" s="235"/>
      <c r="GU37" s="235"/>
      <c r="GV37" s="235"/>
      <c r="GW37" s="235"/>
      <c r="GX37" s="235"/>
      <c r="GY37" s="235"/>
      <c r="GZ37" s="235"/>
      <c r="HA37" s="235"/>
      <c r="HB37" s="235"/>
      <c r="HC37" s="235"/>
      <c r="HD37" s="235"/>
      <c r="HE37" s="235"/>
      <c r="HF37" s="235"/>
      <c r="HG37" s="235"/>
      <c r="HH37" s="235"/>
      <c r="HI37" s="235"/>
      <c r="HJ37" s="235"/>
      <c r="HK37" s="235"/>
      <c r="HL37" s="235"/>
      <c r="HM37" s="235"/>
      <c r="HN37" s="235"/>
      <c r="HO37" s="235"/>
      <c r="HP37" s="235"/>
      <c r="HQ37" s="235"/>
      <c r="HR37" s="235"/>
      <c r="HS37" s="235"/>
      <c r="HT37" s="235"/>
      <c r="HU37" s="235"/>
      <c r="HV37" s="235"/>
      <c r="HW37" s="235"/>
      <c r="HX37" s="235"/>
      <c r="HY37" s="235"/>
      <c r="HZ37" s="235"/>
      <c r="IA37" s="235"/>
      <c r="IB37" s="235"/>
      <c r="IC37" s="235"/>
      <c r="ID37" s="235"/>
      <c r="IE37" s="235"/>
      <c r="IF37" s="235"/>
      <c r="IG37" s="235"/>
      <c r="IH37" s="235"/>
      <c r="II37" s="235"/>
      <c r="IJ37" s="235"/>
      <c r="IK37" s="235"/>
      <c r="IL37" s="235"/>
      <c r="IM37" s="235"/>
      <c r="IN37" s="235"/>
      <c r="IO37" s="235"/>
      <c r="IP37" s="235"/>
      <c r="IQ37" s="235"/>
      <c r="IR37" s="235"/>
      <c r="IS37" s="235"/>
      <c r="IT37" s="235"/>
      <c r="IU37" s="235"/>
      <c r="IV37" s="235"/>
    </row>
    <row r="38" spans="1:256" customFormat="1" ht="14.45" customHeight="1">
      <c r="A38" s="337" t="s">
        <v>126</v>
      </c>
      <c r="B38" s="388">
        <v>25883</v>
      </c>
      <c r="C38" s="338">
        <v>28189</v>
      </c>
      <c r="D38" s="499">
        <f t="shared" ref="D38:D40" si="14">C38/B38*100</f>
        <v>108.90932272147742</v>
      </c>
      <c r="E38" s="338">
        <v>21891</v>
      </c>
      <c r="F38" s="500">
        <f t="shared" si="13"/>
        <v>28.769814078845187</v>
      </c>
      <c r="G38" s="235"/>
      <c r="H38" s="456"/>
      <c r="I38" s="338"/>
      <c r="J38" s="342"/>
      <c r="K38" s="338"/>
      <c r="L38" s="338"/>
      <c r="M38" s="342"/>
      <c r="N38" s="526"/>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5"/>
      <c r="BY38" s="235"/>
      <c r="BZ38" s="235"/>
      <c r="CA38" s="235"/>
      <c r="CB38" s="235"/>
      <c r="CC38" s="235"/>
      <c r="CD38" s="235"/>
      <c r="CE38" s="235"/>
      <c r="CF38" s="235"/>
      <c r="CG38" s="235"/>
      <c r="CH38" s="235"/>
      <c r="CI38" s="235"/>
      <c r="CJ38" s="235"/>
      <c r="CK38" s="235"/>
      <c r="CL38" s="235"/>
      <c r="CM38" s="235"/>
      <c r="CN38" s="235"/>
      <c r="CO38" s="235"/>
      <c r="CP38" s="235"/>
      <c r="CQ38" s="235"/>
      <c r="CR38" s="235"/>
      <c r="CS38" s="235"/>
      <c r="CT38" s="235"/>
      <c r="CU38" s="235"/>
      <c r="CV38" s="235"/>
      <c r="CW38" s="235"/>
      <c r="CX38" s="235"/>
      <c r="CY38" s="235"/>
      <c r="CZ38" s="235"/>
      <c r="DA38" s="235"/>
      <c r="DB38" s="235"/>
      <c r="DC38" s="235"/>
      <c r="DD38" s="235"/>
      <c r="DE38" s="235"/>
      <c r="DF38" s="235"/>
      <c r="DG38" s="235"/>
      <c r="DH38" s="235"/>
      <c r="DI38" s="235"/>
      <c r="DJ38" s="235"/>
      <c r="DK38" s="235"/>
      <c r="DL38" s="235"/>
      <c r="DM38" s="235"/>
      <c r="DN38" s="235"/>
      <c r="DO38" s="235"/>
      <c r="DP38" s="235"/>
      <c r="DQ38" s="235"/>
      <c r="DR38" s="235"/>
      <c r="DS38" s="235"/>
      <c r="DT38" s="235"/>
      <c r="DU38" s="235"/>
      <c r="DV38" s="235"/>
      <c r="DW38" s="235"/>
      <c r="DX38" s="235"/>
      <c r="DY38" s="235"/>
      <c r="DZ38" s="235"/>
      <c r="EA38" s="235"/>
      <c r="EB38" s="235"/>
      <c r="EC38" s="235"/>
      <c r="ED38" s="235"/>
      <c r="EE38" s="235"/>
      <c r="EF38" s="235"/>
      <c r="EG38" s="235"/>
      <c r="EH38" s="235"/>
      <c r="EI38" s="235"/>
      <c r="EJ38" s="235"/>
      <c r="EK38" s="235"/>
      <c r="EL38" s="235"/>
      <c r="EM38" s="235"/>
      <c r="EN38" s="235"/>
      <c r="EO38" s="235"/>
      <c r="EP38" s="235"/>
      <c r="EQ38" s="235"/>
      <c r="ER38" s="235"/>
      <c r="ES38" s="235"/>
      <c r="ET38" s="235"/>
      <c r="EU38" s="235"/>
      <c r="EV38" s="235"/>
      <c r="EW38" s="235"/>
      <c r="EX38" s="235"/>
      <c r="EY38" s="235"/>
      <c r="EZ38" s="235"/>
      <c r="FA38" s="235"/>
      <c r="FB38" s="235"/>
      <c r="FC38" s="235"/>
      <c r="FD38" s="235"/>
      <c r="FE38" s="235"/>
      <c r="FF38" s="235"/>
      <c r="FG38" s="235"/>
      <c r="FH38" s="235"/>
      <c r="FI38" s="235"/>
      <c r="FJ38" s="235"/>
      <c r="FK38" s="235"/>
      <c r="FL38" s="235"/>
      <c r="FM38" s="235"/>
      <c r="FN38" s="235"/>
      <c r="FO38" s="235"/>
      <c r="FP38" s="235"/>
      <c r="FQ38" s="235"/>
      <c r="FR38" s="235"/>
      <c r="FS38" s="235"/>
      <c r="FT38" s="235"/>
      <c r="FU38" s="235"/>
      <c r="FV38" s="235"/>
      <c r="FW38" s="235"/>
      <c r="FX38" s="235"/>
      <c r="FY38" s="235"/>
      <c r="FZ38" s="235"/>
      <c r="GA38" s="235"/>
      <c r="GB38" s="235"/>
      <c r="GC38" s="235"/>
      <c r="GD38" s="235"/>
      <c r="GE38" s="235"/>
      <c r="GF38" s="235"/>
      <c r="GG38" s="235"/>
      <c r="GH38" s="235"/>
      <c r="GI38" s="235"/>
      <c r="GJ38" s="235"/>
      <c r="GK38" s="235"/>
      <c r="GL38" s="235"/>
      <c r="GM38" s="235"/>
      <c r="GN38" s="235"/>
      <c r="GO38" s="235"/>
      <c r="GP38" s="235"/>
      <c r="GQ38" s="235"/>
      <c r="GR38" s="235"/>
      <c r="GS38" s="235"/>
      <c r="GT38" s="235"/>
      <c r="GU38" s="235"/>
      <c r="GV38" s="235"/>
      <c r="GW38" s="235"/>
      <c r="GX38" s="235"/>
      <c r="GY38" s="235"/>
      <c r="GZ38" s="235"/>
      <c r="HA38" s="235"/>
      <c r="HB38" s="235"/>
      <c r="HC38" s="235"/>
      <c r="HD38" s="235"/>
      <c r="HE38" s="235"/>
      <c r="HF38" s="235"/>
      <c r="HG38" s="235"/>
      <c r="HH38" s="235"/>
      <c r="HI38" s="235"/>
      <c r="HJ38" s="235"/>
      <c r="HK38" s="235"/>
      <c r="HL38" s="235"/>
      <c r="HM38" s="235"/>
      <c r="HN38" s="235"/>
      <c r="HO38" s="235"/>
      <c r="HP38" s="235"/>
      <c r="HQ38" s="235"/>
      <c r="HR38" s="235"/>
      <c r="HS38" s="235"/>
      <c r="HT38" s="235"/>
      <c r="HU38" s="235"/>
      <c r="HV38" s="235"/>
      <c r="HW38" s="235"/>
      <c r="HX38" s="235"/>
      <c r="HY38" s="235"/>
      <c r="HZ38" s="235"/>
      <c r="IA38" s="235"/>
      <c r="IB38" s="235"/>
      <c r="IC38" s="235"/>
      <c r="ID38" s="235"/>
      <c r="IE38" s="235"/>
      <c r="IF38" s="235"/>
      <c r="IG38" s="235"/>
      <c r="IH38" s="235"/>
      <c r="II38" s="235"/>
      <c r="IJ38" s="235"/>
      <c r="IK38" s="235"/>
      <c r="IL38" s="235"/>
      <c r="IM38" s="235"/>
      <c r="IN38" s="235"/>
      <c r="IO38" s="235"/>
      <c r="IP38" s="235"/>
      <c r="IQ38" s="235"/>
      <c r="IR38" s="235"/>
      <c r="IS38" s="235"/>
      <c r="IT38" s="235"/>
      <c r="IU38" s="235"/>
      <c r="IV38" s="235"/>
    </row>
    <row r="39" spans="1:256" customFormat="1" ht="14.45" customHeight="1">
      <c r="A39" s="337" t="s">
        <v>127</v>
      </c>
      <c r="B39" s="388">
        <v>700</v>
      </c>
      <c r="C39" s="338">
        <v>696</v>
      </c>
      <c r="D39" s="499">
        <f t="shared" si="14"/>
        <v>99.428571428571431</v>
      </c>
      <c r="E39" s="338">
        <v>547</v>
      </c>
      <c r="F39" s="500">
        <f t="shared" si="13"/>
        <v>27.239488117001827</v>
      </c>
      <c r="G39" s="235"/>
      <c r="H39" s="456"/>
      <c r="I39" s="338"/>
      <c r="J39" s="342"/>
      <c r="K39" s="338"/>
      <c r="L39" s="338"/>
      <c r="M39" s="342"/>
      <c r="N39" s="526"/>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5"/>
      <c r="CD39" s="235"/>
      <c r="CE39" s="235"/>
      <c r="CF39" s="235"/>
      <c r="CG39" s="235"/>
      <c r="CH39" s="235"/>
      <c r="CI39" s="235"/>
      <c r="CJ39" s="235"/>
      <c r="CK39" s="235"/>
      <c r="CL39" s="235"/>
      <c r="CM39" s="235"/>
      <c r="CN39" s="235"/>
      <c r="CO39" s="235"/>
      <c r="CP39" s="235"/>
      <c r="CQ39" s="235"/>
      <c r="CR39" s="235"/>
      <c r="CS39" s="235"/>
      <c r="CT39" s="235"/>
      <c r="CU39" s="235"/>
      <c r="CV39" s="235"/>
      <c r="CW39" s="235"/>
      <c r="CX39" s="235"/>
      <c r="CY39" s="235"/>
      <c r="CZ39" s="235"/>
      <c r="DA39" s="235"/>
      <c r="DB39" s="235"/>
      <c r="DC39" s="235"/>
      <c r="DD39" s="235"/>
      <c r="DE39" s="235"/>
      <c r="DF39" s="235"/>
      <c r="DG39" s="235"/>
      <c r="DH39" s="235"/>
      <c r="DI39" s="235"/>
      <c r="DJ39" s="235"/>
      <c r="DK39" s="235"/>
      <c r="DL39" s="235"/>
      <c r="DM39" s="235"/>
      <c r="DN39" s="235"/>
      <c r="DO39" s="235"/>
      <c r="DP39" s="235"/>
      <c r="DQ39" s="235"/>
      <c r="DR39" s="235"/>
      <c r="DS39" s="235"/>
      <c r="DT39" s="235"/>
      <c r="DU39" s="235"/>
      <c r="DV39" s="235"/>
      <c r="DW39" s="235"/>
      <c r="DX39" s="235"/>
      <c r="DY39" s="235"/>
      <c r="DZ39" s="235"/>
      <c r="EA39" s="235"/>
      <c r="EB39" s="235"/>
      <c r="EC39" s="235"/>
      <c r="ED39" s="235"/>
      <c r="EE39" s="235"/>
      <c r="EF39" s="235"/>
      <c r="EG39" s="235"/>
      <c r="EH39" s="235"/>
      <c r="EI39" s="235"/>
      <c r="EJ39" s="235"/>
      <c r="EK39" s="235"/>
      <c r="EL39" s="235"/>
      <c r="EM39" s="235"/>
      <c r="EN39" s="235"/>
      <c r="EO39" s="235"/>
      <c r="EP39" s="235"/>
      <c r="EQ39" s="235"/>
      <c r="ER39" s="235"/>
      <c r="ES39" s="235"/>
      <c r="ET39" s="235"/>
      <c r="EU39" s="235"/>
      <c r="EV39" s="235"/>
      <c r="EW39" s="235"/>
      <c r="EX39" s="235"/>
      <c r="EY39" s="235"/>
      <c r="EZ39" s="235"/>
      <c r="FA39" s="235"/>
      <c r="FB39" s="235"/>
      <c r="FC39" s="235"/>
      <c r="FD39" s="235"/>
      <c r="FE39" s="235"/>
      <c r="FF39" s="235"/>
      <c r="FG39" s="235"/>
      <c r="FH39" s="235"/>
      <c r="FI39" s="235"/>
      <c r="FJ39" s="235"/>
      <c r="FK39" s="235"/>
      <c r="FL39" s="235"/>
      <c r="FM39" s="235"/>
      <c r="FN39" s="235"/>
      <c r="FO39" s="235"/>
      <c r="FP39" s="235"/>
      <c r="FQ39" s="235"/>
      <c r="FR39" s="235"/>
      <c r="FS39" s="235"/>
      <c r="FT39" s="235"/>
      <c r="FU39" s="235"/>
      <c r="FV39" s="235"/>
      <c r="FW39" s="235"/>
      <c r="FX39" s="235"/>
      <c r="FY39" s="235"/>
      <c r="FZ39" s="235"/>
      <c r="GA39" s="235"/>
      <c r="GB39" s="235"/>
      <c r="GC39" s="235"/>
      <c r="GD39" s="235"/>
      <c r="GE39" s="235"/>
      <c r="GF39" s="235"/>
      <c r="GG39" s="235"/>
      <c r="GH39" s="235"/>
      <c r="GI39" s="235"/>
      <c r="GJ39" s="235"/>
      <c r="GK39" s="235"/>
      <c r="GL39" s="235"/>
      <c r="GM39" s="235"/>
      <c r="GN39" s="235"/>
      <c r="GO39" s="235"/>
      <c r="GP39" s="235"/>
      <c r="GQ39" s="235"/>
      <c r="GR39" s="235"/>
      <c r="GS39" s="235"/>
      <c r="GT39" s="235"/>
      <c r="GU39" s="235"/>
      <c r="GV39" s="235"/>
      <c r="GW39" s="235"/>
      <c r="GX39" s="235"/>
      <c r="GY39" s="235"/>
      <c r="GZ39" s="235"/>
      <c r="HA39" s="235"/>
      <c r="HB39" s="235"/>
      <c r="HC39" s="235"/>
      <c r="HD39" s="235"/>
      <c r="HE39" s="235"/>
      <c r="HF39" s="235"/>
      <c r="HG39" s="235"/>
      <c r="HH39" s="235"/>
      <c r="HI39" s="235"/>
      <c r="HJ39" s="235"/>
      <c r="HK39" s="235"/>
      <c r="HL39" s="235"/>
      <c r="HM39" s="235"/>
      <c r="HN39" s="235"/>
      <c r="HO39" s="235"/>
      <c r="HP39" s="235"/>
      <c r="HQ39" s="235"/>
      <c r="HR39" s="235"/>
      <c r="HS39" s="235"/>
      <c r="HT39" s="235"/>
      <c r="HU39" s="235"/>
      <c r="HV39" s="235"/>
      <c r="HW39" s="235"/>
      <c r="HX39" s="235"/>
      <c r="HY39" s="235"/>
      <c r="HZ39" s="235"/>
      <c r="IA39" s="235"/>
      <c r="IB39" s="235"/>
      <c r="IC39" s="235"/>
      <c r="ID39" s="235"/>
      <c r="IE39" s="235"/>
      <c r="IF39" s="235"/>
      <c r="IG39" s="235"/>
      <c r="IH39" s="235"/>
      <c r="II39" s="235"/>
      <c r="IJ39" s="235"/>
      <c r="IK39" s="235"/>
      <c r="IL39" s="235"/>
      <c r="IM39" s="235"/>
      <c r="IN39" s="235"/>
      <c r="IO39" s="235"/>
      <c r="IP39" s="235"/>
      <c r="IQ39" s="235"/>
      <c r="IR39" s="235"/>
      <c r="IS39" s="235"/>
      <c r="IT39" s="235"/>
      <c r="IU39" s="235"/>
      <c r="IV39" s="235"/>
    </row>
    <row r="40" spans="1:256" customFormat="1" ht="14.45" customHeight="1">
      <c r="A40" s="343" t="s">
        <v>128</v>
      </c>
      <c r="B40" s="388">
        <v>15745</v>
      </c>
      <c r="C40" s="338">
        <v>13498</v>
      </c>
      <c r="D40" s="499">
        <f t="shared" si="14"/>
        <v>85.728802794537955</v>
      </c>
      <c r="E40" s="338">
        <v>13218</v>
      </c>
      <c r="F40" s="500">
        <f t="shared" si="13"/>
        <v>2.1183234982599486</v>
      </c>
      <c r="G40" s="235"/>
      <c r="H40" s="456"/>
      <c r="I40" s="338"/>
      <c r="J40" s="342"/>
      <c r="K40" s="338"/>
      <c r="L40" s="338"/>
      <c r="M40" s="342"/>
      <c r="N40" s="526"/>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c r="BP40" s="235"/>
      <c r="BQ40" s="235"/>
      <c r="BR40" s="235"/>
      <c r="BS40" s="235"/>
      <c r="BT40" s="235"/>
      <c r="BU40" s="235"/>
      <c r="BV40" s="235"/>
      <c r="BW40" s="235"/>
      <c r="BX40" s="235"/>
      <c r="BY40" s="235"/>
      <c r="BZ40" s="235"/>
      <c r="CA40" s="235"/>
      <c r="CB40" s="235"/>
      <c r="CC40" s="235"/>
      <c r="CD40" s="235"/>
      <c r="CE40" s="235"/>
      <c r="CF40" s="235"/>
      <c r="CG40" s="235"/>
      <c r="CH40" s="235"/>
      <c r="CI40" s="235"/>
      <c r="CJ40" s="235"/>
      <c r="CK40" s="235"/>
      <c r="CL40" s="235"/>
      <c r="CM40" s="235"/>
      <c r="CN40" s="235"/>
      <c r="CO40" s="235"/>
      <c r="CP40" s="235"/>
      <c r="CQ40" s="235"/>
      <c r="CR40" s="235"/>
      <c r="CS40" s="235"/>
      <c r="CT40" s="235"/>
      <c r="CU40" s="235"/>
      <c r="CV40" s="235"/>
      <c r="CW40" s="235"/>
      <c r="CX40" s="235"/>
      <c r="CY40" s="235"/>
      <c r="CZ40" s="235"/>
      <c r="DA40" s="235"/>
      <c r="DB40" s="235"/>
      <c r="DC40" s="235"/>
      <c r="DD40" s="235"/>
      <c r="DE40" s="235"/>
      <c r="DF40" s="235"/>
      <c r="DG40" s="235"/>
      <c r="DH40" s="235"/>
      <c r="DI40" s="235"/>
      <c r="DJ40" s="235"/>
      <c r="DK40" s="235"/>
      <c r="DL40" s="235"/>
      <c r="DM40" s="235"/>
      <c r="DN40" s="235"/>
      <c r="DO40" s="235"/>
      <c r="DP40" s="235"/>
      <c r="DQ40" s="235"/>
      <c r="DR40" s="235"/>
      <c r="DS40" s="235"/>
      <c r="DT40" s="235"/>
      <c r="DU40" s="235"/>
      <c r="DV40" s="235"/>
      <c r="DW40" s="235"/>
      <c r="DX40" s="235"/>
      <c r="DY40" s="235"/>
      <c r="DZ40" s="235"/>
      <c r="EA40" s="235"/>
      <c r="EB40" s="235"/>
      <c r="EC40" s="235"/>
      <c r="ED40" s="235"/>
      <c r="EE40" s="235"/>
      <c r="EF40" s="235"/>
      <c r="EG40" s="235"/>
      <c r="EH40" s="235"/>
      <c r="EI40" s="235"/>
      <c r="EJ40" s="235"/>
      <c r="EK40" s="235"/>
      <c r="EL40" s="235"/>
      <c r="EM40" s="235"/>
      <c r="EN40" s="235"/>
      <c r="EO40" s="235"/>
      <c r="EP40" s="235"/>
      <c r="EQ40" s="235"/>
      <c r="ER40" s="235"/>
      <c r="ES40" s="235"/>
      <c r="ET40" s="235"/>
      <c r="EU40" s="235"/>
      <c r="EV40" s="235"/>
      <c r="EW40" s="235"/>
      <c r="EX40" s="235"/>
      <c r="EY40" s="235"/>
      <c r="EZ40" s="235"/>
      <c r="FA40" s="235"/>
      <c r="FB40" s="235"/>
      <c r="FC40" s="235"/>
      <c r="FD40" s="235"/>
      <c r="FE40" s="235"/>
      <c r="FF40" s="235"/>
      <c r="FG40" s="235"/>
      <c r="FH40" s="235"/>
      <c r="FI40" s="235"/>
      <c r="FJ40" s="235"/>
      <c r="FK40" s="235"/>
      <c r="FL40" s="235"/>
      <c r="FM40" s="235"/>
      <c r="FN40" s="235"/>
      <c r="FO40" s="235"/>
      <c r="FP40" s="235"/>
      <c r="FQ40" s="235"/>
      <c r="FR40" s="235"/>
      <c r="FS40" s="235"/>
      <c r="FT40" s="235"/>
      <c r="FU40" s="235"/>
      <c r="FV40" s="235"/>
      <c r="FW40" s="235"/>
      <c r="FX40" s="235"/>
      <c r="FY40" s="235"/>
      <c r="FZ40" s="235"/>
      <c r="GA40" s="235"/>
      <c r="GB40" s="235"/>
      <c r="GC40" s="235"/>
      <c r="GD40" s="235"/>
      <c r="GE40" s="235"/>
      <c r="GF40" s="235"/>
      <c r="GG40" s="235"/>
      <c r="GH40" s="235"/>
      <c r="GI40" s="235"/>
      <c r="GJ40" s="235"/>
      <c r="GK40" s="235"/>
      <c r="GL40" s="235"/>
      <c r="GM40" s="235"/>
      <c r="GN40" s="235"/>
      <c r="GO40" s="235"/>
      <c r="GP40" s="235"/>
      <c r="GQ40" s="235"/>
      <c r="GR40" s="235"/>
      <c r="GS40" s="235"/>
      <c r="GT40" s="235"/>
      <c r="GU40" s="235"/>
      <c r="GV40" s="235"/>
      <c r="GW40" s="235"/>
      <c r="GX40" s="235"/>
      <c r="GY40" s="235"/>
      <c r="GZ40" s="235"/>
      <c r="HA40" s="235"/>
      <c r="HB40" s="235"/>
      <c r="HC40" s="235"/>
      <c r="HD40" s="235"/>
      <c r="HE40" s="235"/>
      <c r="HF40" s="235"/>
      <c r="HG40" s="235"/>
      <c r="HH40" s="235"/>
      <c r="HI40" s="235"/>
      <c r="HJ40" s="235"/>
      <c r="HK40" s="235"/>
      <c r="HL40" s="235"/>
      <c r="HM40" s="235"/>
      <c r="HN40" s="235"/>
      <c r="HO40" s="235"/>
      <c r="HP40" s="235"/>
      <c r="HQ40" s="235"/>
      <c r="HR40" s="235"/>
      <c r="HS40" s="235"/>
      <c r="HT40" s="235"/>
      <c r="HU40" s="235"/>
      <c r="HV40" s="235"/>
      <c r="HW40" s="235"/>
      <c r="HX40" s="235"/>
      <c r="HY40" s="235"/>
      <c r="HZ40" s="235"/>
      <c r="IA40" s="235"/>
      <c r="IB40" s="235"/>
      <c r="IC40" s="235"/>
      <c r="ID40" s="235"/>
      <c r="IE40" s="235"/>
      <c r="IF40" s="235"/>
      <c r="IG40" s="235"/>
      <c r="IH40" s="235"/>
      <c r="II40" s="235"/>
      <c r="IJ40" s="235"/>
      <c r="IK40" s="235"/>
      <c r="IL40" s="235"/>
      <c r="IM40" s="235"/>
      <c r="IN40" s="235"/>
      <c r="IO40" s="235"/>
      <c r="IP40" s="235"/>
      <c r="IQ40" s="235"/>
      <c r="IR40" s="235"/>
      <c r="IS40" s="235"/>
      <c r="IT40" s="235"/>
      <c r="IU40" s="235"/>
      <c r="IV40" s="235"/>
    </row>
    <row r="41" spans="1:256" customFormat="1" ht="14.45" customHeight="1">
      <c r="A41" s="386" t="s">
        <v>129</v>
      </c>
      <c r="B41" s="519"/>
      <c r="C41" s="387">
        <v>418</v>
      </c>
      <c r="D41" s="520"/>
      <c r="E41" s="387"/>
      <c r="F41" s="521"/>
      <c r="G41" s="235"/>
      <c r="H41" s="456"/>
      <c r="I41" s="338"/>
      <c r="J41" s="342"/>
      <c r="K41" s="338"/>
      <c r="L41" s="338"/>
      <c r="M41" s="342"/>
      <c r="N41" s="526"/>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5"/>
      <c r="BR41" s="235"/>
      <c r="BS41" s="235"/>
      <c r="BT41" s="235"/>
      <c r="BU41" s="235"/>
      <c r="BV41" s="235"/>
      <c r="BW41" s="235"/>
      <c r="BX41" s="235"/>
      <c r="BY41" s="235"/>
      <c r="BZ41" s="235"/>
      <c r="CA41" s="235"/>
      <c r="CB41" s="235"/>
      <c r="CC41" s="235"/>
      <c r="CD41" s="235"/>
      <c r="CE41" s="235"/>
      <c r="CF41" s="235"/>
      <c r="CG41" s="235"/>
      <c r="CH41" s="235"/>
      <c r="CI41" s="235"/>
      <c r="CJ41" s="235"/>
      <c r="CK41" s="235"/>
      <c r="CL41" s="235"/>
      <c r="CM41" s="235"/>
      <c r="CN41" s="235"/>
      <c r="CO41" s="235"/>
      <c r="CP41" s="235"/>
      <c r="CQ41" s="235"/>
      <c r="CR41" s="235"/>
      <c r="CS41" s="235"/>
      <c r="CT41" s="235"/>
      <c r="CU41" s="235"/>
      <c r="CV41" s="235"/>
      <c r="CW41" s="235"/>
      <c r="CX41" s="235"/>
      <c r="CY41" s="235"/>
      <c r="CZ41" s="235"/>
      <c r="DA41" s="235"/>
      <c r="DB41" s="235"/>
      <c r="DC41" s="235"/>
      <c r="DD41" s="235"/>
      <c r="DE41" s="235"/>
      <c r="DF41" s="235"/>
      <c r="DG41" s="235"/>
      <c r="DH41" s="235"/>
      <c r="DI41" s="235"/>
      <c r="DJ41" s="235"/>
      <c r="DK41" s="235"/>
      <c r="DL41" s="235"/>
      <c r="DM41" s="235"/>
      <c r="DN41" s="235"/>
      <c r="DO41" s="235"/>
      <c r="DP41" s="235"/>
      <c r="DQ41" s="235"/>
      <c r="DR41" s="235"/>
      <c r="DS41" s="235"/>
      <c r="DT41" s="235"/>
      <c r="DU41" s="235"/>
      <c r="DV41" s="235"/>
      <c r="DW41" s="235"/>
      <c r="DX41" s="235"/>
      <c r="DY41" s="235"/>
      <c r="DZ41" s="235"/>
      <c r="EA41" s="235"/>
      <c r="EB41" s="235"/>
      <c r="EC41" s="235"/>
      <c r="ED41" s="235"/>
      <c r="EE41" s="235"/>
      <c r="EF41" s="235"/>
      <c r="EG41" s="235"/>
      <c r="EH41" s="235"/>
      <c r="EI41" s="235"/>
      <c r="EJ41" s="235"/>
      <c r="EK41" s="235"/>
      <c r="EL41" s="235"/>
      <c r="EM41" s="235"/>
      <c r="EN41" s="235"/>
      <c r="EO41" s="235"/>
      <c r="EP41" s="235"/>
      <c r="EQ41" s="235"/>
      <c r="ER41" s="235"/>
      <c r="ES41" s="235"/>
      <c r="ET41" s="235"/>
      <c r="EU41" s="235"/>
      <c r="EV41" s="235"/>
      <c r="EW41" s="235"/>
      <c r="EX41" s="235"/>
      <c r="EY41" s="235"/>
      <c r="EZ41" s="235"/>
      <c r="FA41" s="235"/>
      <c r="FB41" s="235"/>
      <c r="FC41" s="235"/>
      <c r="FD41" s="235"/>
      <c r="FE41" s="235"/>
      <c r="FF41" s="235"/>
      <c r="FG41" s="235"/>
      <c r="FH41" s="235"/>
      <c r="FI41" s="235"/>
      <c r="FJ41" s="235"/>
      <c r="FK41" s="235"/>
      <c r="FL41" s="235"/>
      <c r="FM41" s="235"/>
      <c r="FN41" s="235"/>
      <c r="FO41" s="235"/>
      <c r="FP41" s="235"/>
      <c r="FQ41" s="235"/>
      <c r="FR41" s="235"/>
      <c r="FS41" s="235"/>
      <c r="FT41" s="235"/>
      <c r="FU41" s="235"/>
      <c r="FV41" s="235"/>
      <c r="FW41" s="235"/>
      <c r="FX41" s="235"/>
      <c r="FY41" s="235"/>
      <c r="FZ41" s="235"/>
      <c r="GA41" s="235"/>
      <c r="GB41" s="235"/>
      <c r="GC41" s="235"/>
      <c r="GD41" s="235"/>
      <c r="GE41" s="235"/>
      <c r="GF41" s="235"/>
      <c r="GG41" s="235"/>
      <c r="GH41" s="235"/>
      <c r="GI41" s="235"/>
      <c r="GJ41" s="235"/>
      <c r="GK41" s="235"/>
      <c r="GL41" s="235"/>
      <c r="GM41" s="235"/>
      <c r="GN41" s="235"/>
      <c r="GO41" s="235"/>
      <c r="GP41" s="235"/>
      <c r="GQ41" s="235"/>
      <c r="GR41" s="235"/>
      <c r="GS41" s="235"/>
      <c r="GT41" s="235"/>
      <c r="GU41" s="235"/>
      <c r="GV41" s="235"/>
      <c r="GW41" s="235"/>
      <c r="GX41" s="235"/>
      <c r="GY41" s="235"/>
      <c r="GZ41" s="235"/>
      <c r="HA41" s="235"/>
      <c r="HB41" s="235"/>
      <c r="HC41" s="235"/>
      <c r="HD41" s="235"/>
      <c r="HE41" s="235"/>
      <c r="HF41" s="235"/>
      <c r="HG41" s="235"/>
      <c r="HH41" s="235"/>
      <c r="HI41" s="235"/>
      <c r="HJ41" s="235"/>
      <c r="HK41" s="235"/>
      <c r="HL41" s="235"/>
      <c r="HM41" s="235"/>
      <c r="HN41" s="235"/>
      <c r="HO41" s="235"/>
      <c r="HP41" s="235"/>
      <c r="HQ41" s="235"/>
      <c r="HR41" s="235"/>
      <c r="HS41" s="235"/>
      <c r="HT41" s="235"/>
      <c r="HU41" s="235"/>
      <c r="HV41" s="235"/>
      <c r="HW41" s="235"/>
      <c r="HX41" s="235"/>
      <c r="HY41" s="235"/>
      <c r="HZ41" s="235"/>
      <c r="IA41" s="235"/>
      <c r="IB41" s="235"/>
      <c r="IC41" s="235"/>
      <c r="ID41" s="235"/>
      <c r="IE41" s="235"/>
      <c r="IF41" s="235"/>
      <c r="IG41" s="235"/>
      <c r="IH41" s="235"/>
      <c r="II41" s="235"/>
      <c r="IJ41" s="235"/>
      <c r="IK41" s="235"/>
      <c r="IL41" s="235"/>
      <c r="IM41" s="235"/>
      <c r="IN41" s="235"/>
      <c r="IO41" s="235"/>
      <c r="IP41" s="235"/>
      <c r="IQ41" s="235"/>
      <c r="IR41" s="235"/>
      <c r="IS41" s="235"/>
      <c r="IT41" s="235"/>
      <c r="IU41" s="235"/>
      <c r="IV41" s="235"/>
    </row>
    <row r="42" spans="1:256" customFormat="1" ht="14.45" customHeight="1">
      <c r="A42" s="501" t="s">
        <v>130</v>
      </c>
      <c r="B42" s="388">
        <f>+B29+B30+B35</f>
        <v>1267170</v>
      </c>
      <c r="C42" s="388">
        <f>+C29+C30+C35</f>
        <v>1258396</v>
      </c>
      <c r="D42" s="499">
        <f>C42/B42*100</f>
        <v>99.307590930972168</v>
      </c>
      <c r="E42" s="522">
        <f>+E29+E30+E35</f>
        <v>1168038</v>
      </c>
      <c r="F42" s="500">
        <f>+(C42-E42)/E42*100</f>
        <v>7.7358784560091358</v>
      </c>
      <c r="G42" s="235"/>
      <c r="H42" s="456"/>
      <c r="I42" s="338"/>
      <c r="J42" s="338"/>
      <c r="K42" s="338"/>
      <c r="L42" s="338"/>
      <c r="M42" s="338"/>
      <c r="N42" s="530"/>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5"/>
      <c r="BR42" s="235"/>
      <c r="BS42" s="235"/>
      <c r="BT42" s="235"/>
      <c r="BU42" s="235"/>
      <c r="BV42" s="235"/>
      <c r="BW42" s="235"/>
      <c r="BX42" s="235"/>
      <c r="BY42" s="235"/>
      <c r="BZ42" s="235"/>
      <c r="CA42" s="235"/>
      <c r="CB42" s="235"/>
      <c r="CC42" s="235"/>
      <c r="CD42" s="235"/>
      <c r="CE42" s="235"/>
      <c r="CF42" s="235"/>
      <c r="CG42" s="235"/>
      <c r="CH42" s="235"/>
      <c r="CI42" s="235"/>
      <c r="CJ42" s="235"/>
      <c r="CK42" s="235"/>
      <c r="CL42" s="235"/>
      <c r="CM42" s="235"/>
      <c r="CN42" s="235"/>
      <c r="CO42" s="235"/>
      <c r="CP42" s="235"/>
      <c r="CQ42" s="235"/>
      <c r="CR42" s="235"/>
      <c r="CS42" s="235"/>
      <c r="CT42" s="235"/>
      <c r="CU42" s="235"/>
      <c r="CV42" s="235"/>
      <c r="CW42" s="235"/>
      <c r="CX42" s="235"/>
      <c r="CY42" s="235"/>
      <c r="CZ42" s="235"/>
      <c r="DA42" s="235"/>
      <c r="DB42" s="235"/>
      <c r="DC42" s="235"/>
      <c r="DD42" s="235"/>
      <c r="DE42" s="235"/>
      <c r="DF42" s="235"/>
      <c r="DG42" s="235"/>
      <c r="DH42" s="235"/>
      <c r="DI42" s="235"/>
      <c r="DJ42" s="235"/>
      <c r="DK42" s="235"/>
      <c r="DL42" s="235"/>
      <c r="DM42" s="235"/>
      <c r="DN42" s="235"/>
      <c r="DO42" s="235"/>
      <c r="DP42" s="235"/>
      <c r="DQ42" s="235"/>
      <c r="DR42" s="235"/>
      <c r="DS42" s="235"/>
      <c r="DT42" s="235"/>
      <c r="DU42" s="235"/>
      <c r="DV42" s="235"/>
      <c r="DW42" s="235"/>
      <c r="DX42" s="235"/>
      <c r="DY42" s="235"/>
      <c r="DZ42" s="235"/>
      <c r="EA42" s="235"/>
      <c r="EB42" s="235"/>
      <c r="EC42" s="235"/>
      <c r="ED42" s="235"/>
      <c r="EE42" s="235"/>
      <c r="EF42" s="235"/>
      <c r="EG42" s="235"/>
      <c r="EH42" s="235"/>
      <c r="EI42" s="235"/>
      <c r="EJ42" s="235"/>
      <c r="EK42" s="235"/>
      <c r="EL42" s="235"/>
      <c r="EM42" s="235"/>
      <c r="EN42" s="235"/>
      <c r="EO42" s="235"/>
      <c r="EP42" s="235"/>
      <c r="EQ42" s="235"/>
      <c r="ER42" s="235"/>
      <c r="ES42" s="235"/>
      <c r="ET42" s="235"/>
      <c r="EU42" s="235"/>
      <c r="EV42" s="235"/>
      <c r="EW42" s="235"/>
      <c r="EX42" s="235"/>
      <c r="EY42" s="235"/>
      <c r="EZ42" s="235"/>
      <c r="FA42" s="235"/>
      <c r="FB42" s="235"/>
      <c r="FC42" s="235"/>
      <c r="FD42" s="235"/>
      <c r="FE42" s="235"/>
      <c r="FF42" s="235"/>
      <c r="FG42" s="235"/>
      <c r="FH42" s="235"/>
      <c r="FI42" s="235"/>
      <c r="FJ42" s="235"/>
      <c r="FK42" s="235"/>
      <c r="FL42" s="235"/>
      <c r="FM42" s="235"/>
      <c r="FN42" s="235"/>
      <c r="FO42" s="235"/>
      <c r="FP42" s="235"/>
      <c r="FQ42" s="235"/>
      <c r="FR42" s="235"/>
      <c r="FS42" s="235"/>
      <c r="FT42" s="235"/>
      <c r="FU42" s="235"/>
      <c r="FV42" s="235"/>
      <c r="FW42" s="235"/>
      <c r="FX42" s="235"/>
      <c r="FY42" s="235"/>
      <c r="FZ42" s="235"/>
      <c r="GA42" s="235"/>
      <c r="GB42" s="235"/>
      <c r="GC42" s="235"/>
      <c r="GD42" s="235"/>
      <c r="GE42" s="235"/>
      <c r="GF42" s="235"/>
      <c r="GG42" s="235"/>
      <c r="GH42" s="235"/>
      <c r="GI42" s="235"/>
      <c r="GJ42" s="235"/>
      <c r="GK42" s="235"/>
      <c r="GL42" s="235"/>
      <c r="GM42" s="235"/>
      <c r="GN42" s="235"/>
      <c r="GO42" s="235"/>
      <c r="GP42" s="235"/>
      <c r="GQ42" s="235"/>
      <c r="GR42" s="235"/>
      <c r="GS42" s="235"/>
      <c r="GT42" s="235"/>
      <c r="GU42" s="235"/>
      <c r="GV42" s="235"/>
      <c r="GW42" s="235"/>
      <c r="GX42" s="235"/>
      <c r="GY42" s="235"/>
      <c r="GZ42" s="235"/>
      <c r="HA42" s="235"/>
      <c r="HB42" s="235"/>
      <c r="HC42" s="235"/>
      <c r="HD42" s="235"/>
      <c r="HE42" s="235"/>
      <c r="HF42" s="235"/>
      <c r="HG42" s="235"/>
      <c r="HH42" s="235"/>
      <c r="HI42" s="235"/>
      <c r="HJ42" s="235"/>
      <c r="HK42" s="235"/>
      <c r="HL42" s="235"/>
      <c r="HM42" s="235"/>
      <c r="HN42" s="235"/>
      <c r="HO42" s="235"/>
      <c r="HP42" s="235"/>
      <c r="HQ42" s="235"/>
      <c r="HR42" s="235"/>
      <c r="HS42" s="235"/>
      <c r="HT42" s="235"/>
      <c r="HU42" s="235"/>
      <c r="HV42" s="235"/>
      <c r="HW42" s="235"/>
      <c r="HX42" s="235"/>
      <c r="HY42" s="235"/>
      <c r="HZ42" s="235"/>
      <c r="IA42" s="235"/>
      <c r="IB42" s="235"/>
      <c r="IC42" s="235"/>
      <c r="ID42" s="235"/>
      <c r="IE42" s="235"/>
      <c r="IF42" s="235"/>
      <c r="IG42" s="235"/>
      <c r="IH42" s="235"/>
      <c r="II42" s="235"/>
      <c r="IJ42" s="235"/>
      <c r="IK42" s="235"/>
      <c r="IL42" s="235"/>
      <c r="IM42" s="235"/>
      <c r="IN42" s="235"/>
      <c r="IO42" s="235"/>
      <c r="IP42" s="235"/>
      <c r="IQ42" s="235"/>
      <c r="IR42" s="235"/>
      <c r="IS42" s="235"/>
      <c r="IT42" s="235"/>
      <c r="IU42" s="235"/>
      <c r="IV42" s="235"/>
    </row>
    <row r="43" spans="1:256" customFormat="1" ht="14.45" hidden="1" customHeight="1">
      <c r="A43" s="523"/>
      <c r="B43" s="524">
        <f>+B42-8538</f>
        <v>1258632</v>
      </c>
      <c r="C43" s="524">
        <v>1258396</v>
      </c>
      <c r="D43" s="499">
        <f>C43/B43*100</f>
        <v>99.981249483566287</v>
      </c>
      <c r="E43" s="525">
        <f>1168038-8538</f>
        <v>1159500</v>
      </c>
      <c r="F43" s="500">
        <f>+(C43-E43)/E43*100</f>
        <v>8.5291936179387662</v>
      </c>
      <c r="G43" s="235"/>
      <c r="H43" s="235"/>
      <c r="I43" s="228"/>
      <c r="J43" s="228"/>
      <c r="K43" s="228"/>
      <c r="L43" s="228"/>
      <c r="M43" s="228"/>
      <c r="N43" s="531"/>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c r="BP43" s="235"/>
      <c r="BQ43" s="235"/>
      <c r="BR43" s="235"/>
      <c r="BS43" s="235"/>
      <c r="BT43" s="235"/>
      <c r="BU43" s="235"/>
      <c r="BV43" s="235"/>
      <c r="BW43" s="235"/>
      <c r="BX43" s="235"/>
      <c r="BY43" s="235"/>
      <c r="BZ43" s="235"/>
      <c r="CA43" s="235"/>
      <c r="CB43" s="235"/>
      <c r="CC43" s="235"/>
      <c r="CD43" s="235"/>
      <c r="CE43" s="235"/>
      <c r="CF43" s="235"/>
      <c r="CG43" s="235"/>
      <c r="CH43" s="235"/>
      <c r="CI43" s="235"/>
      <c r="CJ43" s="235"/>
      <c r="CK43" s="235"/>
      <c r="CL43" s="235"/>
      <c r="CM43" s="235"/>
      <c r="CN43" s="235"/>
      <c r="CO43" s="235"/>
      <c r="CP43" s="235"/>
      <c r="CQ43" s="235"/>
      <c r="CR43" s="235"/>
      <c r="CS43" s="235"/>
      <c r="CT43" s="235"/>
      <c r="CU43" s="235"/>
      <c r="CV43" s="235"/>
      <c r="CW43" s="235"/>
      <c r="CX43" s="235"/>
      <c r="CY43" s="235"/>
      <c r="CZ43" s="235"/>
      <c r="DA43" s="235"/>
      <c r="DB43" s="235"/>
      <c r="DC43" s="235"/>
      <c r="DD43" s="235"/>
      <c r="DE43" s="235"/>
      <c r="DF43" s="235"/>
      <c r="DG43" s="235"/>
      <c r="DH43" s="235"/>
      <c r="DI43" s="235"/>
      <c r="DJ43" s="235"/>
      <c r="DK43" s="235"/>
      <c r="DL43" s="235"/>
      <c r="DM43" s="235"/>
      <c r="DN43" s="235"/>
      <c r="DO43" s="235"/>
      <c r="DP43" s="235"/>
      <c r="DQ43" s="235"/>
      <c r="DR43" s="235"/>
      <c r="DS43" s="235"/>
      <c r="DT43" s="235"/>
      <c r="DU43" s="235"/>
      <c r="DV43" s="235"/>
      <c r="DW43" s="235"/>
      <c r="DX43" s="235"/>
      <c r="DY43" s="235"/>
      <c r="DZ43" s="235"/>
      <c r="EA43" s="235"/>
      <c r="EB43" s="235"/>
      <c r="EC43" s="235"/>
      <c r="ED43" s="235"/>
      <c r="EE43" s="235"/>
      <c r="EF43" s="235"/>
      <c r="EG43" s="235"/>
      <c r="EH43" s="235"/>
      <c r="EI43" s="235"/>
      <c r="EJ43" s="235"/>
      <c r="EK43" s="235"/>
      <c r="EL43" s="235"/>
      <c r="EM43" s="235"/>
      <c r="EN43" s="235"/>
      <c r="EO43" s="235"/>
      <c r="EP43" s="235"/>
      <c r="EQ43" s="235"/>
      <c r="ER43" s="235"/>
      <c r="ES43" s="235"/>
      <c r="ET43" s="235"/>
      <c r="EU43" s="235"/>
      <c r="EV43" s="235"/>
      <c r="EW43" s="235"/>
      <c r="EX43" s="235"/>
      <c r="EY43" s="235"/>
      <c r="EZ43" s="235"/>
      <c r="FA43" s="235"/>
      <c r="FB43" s="235"/>
      <c r="FC43" s="235"/>
      <c r="FD43" s="235"/>
      <c r="FE43" s="235"/>
      <c r="FF43" s="235"/>
      <c r="FG43" s="235"/>
      <c r="FH43" s="235"/>
      <c r="FI43" s="235"/>
      <c r="FJ43" s="235"/>
      <c r="FK43" s="235"/>
      <c r="FL43" s="235"/>
      <c r="FM43" s="235"/>
      <c r="FN43" s="235"/>
      <c r="FO43" s="235"/>
      <c r="FP43" s="235"/>
      <c r="FQ43" s="235"/>
      <c r="FR43" s="235"/>
      <c r="FS43" s="235"/>
      <c r="FT43" s="235"/>
      <c r="FU43" s="235"/>
      <c r="FV43" s="235"/>
      <c r="FW43" s="235"/>
      <c r="FX43" s="235"/>
      <c r="FY43" s="235"/>
      <c r="FZ43" s="235"/>
      <c r="GA43" s="235"/>
      <c r="GB43" s="235"/>
      <c r="GC43" s="235"/>
      <c r="GD43" s="235"/>
      <c r="GE43" s="235"/>
      <c r="GF43" s="235"/>
      <c r="GG43" s="235"/>
      <c r="GH43" s="235"/>
      <c r="GI43" s="235"/>
      <c r="GJ43" s="235"/>
      <c r="GK43" s="235"/>
      <c r="GL43" s="235"/>
      <c r="GM43" s="235"/>
      <c r="GN43" s="235"/>
      <c r="GO43" s="235"/>
      <c r="GP43" s="235"/>
      <c r="GQ43" s="235"/>
      <c r="GR43" s="235"/>
      <c r="GS43" s="235"/>
      <c r="GT43" s="235"/>
      <c r="GU43" s="235"/>
      <c r="GV43" s="235"/>
      <c r="GW43" s="235"/>
      <c r="GX43" s="235"/>
      <c r="GY43" s="235"/>
      <c r="GZ43" s="235"/>
      <c r="HA43" s="235"/>
      <c r="HB43" s="235"/>
      <c r="HC43" s="235"/>
      <c r="HD43" s="235"/>
      <c r="HE43" s="235"/>
      <c r="HF43" s="235"/>
      <c r="HG43" s="235"/>
      <c r="HH43" s="235"/>
      <c r="HI43" s="235"/>
      <c r="HJ43" s="235"/>
      <c r="HK43" s="235"/>
      <c r="HL43" s="235"/>
      <c r="HM43" s="235"/>
      <c r="HN43" s="235"/>
      <c r="HO43" s="235"/>
      <c r="HP43" s="235"/>
      <c r="HQ43" s="235"/>
      <c r="HR43" s="235"/>
      <c r="HS43" s="235"/>
      <c r="HT43" s="235"/>
      <c r="HU43" s="235"/>
      <c r="HV43" s="235"/>
      <c r="HW43" s="235"/>
      <c r="HX43" s="235"/>
      <c r="HY43" s="235"/>
      <c r="HZ43" s="235"/>
      <c r="IA43" s="235"/>
      <c r="IB43" s="235"/>
      <c r="IC43" s="235"/>
      <c r="ID43" s="235"/>
      <c r="IE43" s="235"/>
      <c r="IF43" s="235"/>
      <c r="IG43" s="235"/>
      <c r="IH43" s="235"/>
      <c r="II43" s="235"/>
      <c r="IJ43" s="235"/>
      <c r="IK43" s="235"/>
      <c r="IL43" s="235"/>
      <c r="IM43" s="235"/>
      <c r="IN43" s="235"/>
      <c r="IO43" s="235"/>
      <c r="IP43" s="235"/>
      <c r="IQ43" s="235"/>
      <c r="IR43" s="235"/>
      <c r="IS43" s="235"/>
      <c r="IT43" s="235"/>
      <c r="IU43" s="235"/>
      <c r="IV43" s="235"/>
    </row>
    <row r="44" spans="1:256" customFormat="1" ht="24" customHeight="1">
      <c r="A44" s="539" t="s">
        <v>131</v>
      </c>
      <c r="B44" s="540"/>
      <c r="C44" s="541"/>
      <c r="D44" s="541"/>
      <c r="E44" s="541"/>
      <c r="F44" s="541"/>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c r="BP44" s="235"/>
      <c r="BQ44" s="235"/>
      <c r="BR44" s="235"/>
      <c r="BS44" s="235"/>
      <c r="BT44" s="235"/>
      <c r="BU44" s="235"/>
      <c r="BV44" s="235"/>
      <c r="BW44" s="235"/>
      <c r="BX44" s="235"/>
      <c r="BY44" s="235"/>
      <c r="BZ44" s="235"/>
      <c r="CA44" s="235"/>
      <c r="CB44" s="235"/>
      <c r="CC44" s="235"/>
      <c r="CD44" s="235"/>
      <c r="CE44" s="235"/>
      <c r="CF44" s="235"/>
      <c r="CG44" s="235"/>
      <c r="CH44" s="235"/>
      <c r="CI44" s="235"/>
      <c r="CJ44" s="235"/>
      <c r="CK44" s="235"/>
      <c r="CL44" s="235"/>
      <c r="CM44" s="235"/>
      <c r="CN44" s="235"/>
      <c r="CO44" s="235"/>
      <c r="CP44" s="235"/>
      <c r="CQ44" s="235"/>
      <c r="CR44" s="235"/>
      <c r="CS44" s="235"/>
      <c r="CT44" s="235"/>
      <c r="CU44" s="235"/>
      <c r="CV44" s="235"/>
      <c r="CW44" s="235"/>
      <c r="CX44" s="235"/>
      <c r="CY44" s="235"/>
      <c r="CZ44" s="235"/>
      <c r="DA44" s="235"/>
      <c r="DB44" s="235"/>
      <c r="DC44" s="235"/>
      <c r="DD44" s="235"/>
      <c r="DE44" s="235"/>
      <c r="DF44" s="235"/>
      <c r="DG44" s="235"/>
      <c r="DH44" s="235"/>
      <c r="DI44" s="235"/>
      <c r="DJ44" s="235"/>
      <c r="DK44" s="235"/>
      <c r="DL44" s="235"/>
      <c r="DM44" s="235"/>
      <c r="DN44" s="235"/>
      <c r="DO44" s="235"/>
      <c r="DP44" s="235"/>
      <c r="DQ44" s="235"/>
      <c r="DR44" s="235"/>
      <c r="DS44" s="235"/>
      <c r="DT44" s="235"/>
      <c r="DU44" s="235"/>
      <c r="DV44" s="235"/>
      <c r="DW44" s="235"/>
      <c r="DX44" s="235"/>
      <c r="DY44" s="235"/>
      <c r="DZ44" s="235"/>
      <c r="EA44" s="235"/>
      <c r="EB44" s="235"/>
      <c r="EC44" s="235"/>
      <c r="ED44" s="235"/>
      <c r="EE44" s="235"/>
      <c r="EF44" s="235"/>
      <c r="EG44" s="235"/>
      <c r="EH44" s="235"/>
      <c r="EI44" s="235"/>
      <c r="EJ44" s="235"/>
      <c r="EK44" s="235"/>
      <c r="EL44" s="235"/>
      <c r="EM44" s="235"/>
      <c r="EN44" s="235"/>
      <c r="EO44" s="235"/>
      <c r="EP44" s="235"/>
      <c r="EQ44" s="235"/>
      <c r="ER44" s="235"/>
      <c r="ES44" s="235"/>
      <c r="ET44" s="235"/>
      <c r="EU44" s="235"/>
      <c r="EV44" s="235"/>
      <c r="EW44" s="235"/>
      <c r="EX44" s="235"/>
      <c r="EY44" s="235"/>
      <c r="EZ44" s="235"/>
      <c r="FA44" s="235"/>
      <c r="FB44" s="235"/>
      <c r="FC44" s="235"/>
      <c r="FD44" s="235"/>
      <c r="FE44" s="235"/>
      <c r="FF44" s="235"/>
      <c r="FG44" s="235"/>
      <c r="FH44" s="235"/>
      <c r="FI44" s="235"/>
      <c r="FJ44" s="235"/>
      <c r="FK44" s="235"/>
      <c r="FL44" s="235"/>
      <c r="FM44" s="235"/>
      <c r="FN44" s="235"/>
      <c r="FO44" s="235"/>
      <c r="FP44" s="235"/>
      <c r="FQ44" s="235"/>
      <c r="FR44" s="235"/>
      <c r="FS44" s="235"/>
      <c r="FT44" s="235"/>
      <c r="FU44" s="235"/>
      <c r="FV44" s="235"/>
      <c r="FW44" s="235"/>
      <c r="FX44" s="235"/>
      <c r="FY44" s="235"/>
      <c r="FZ44" s="235"/>
      <c r="GA44" s="235"/>
      <c r="GB44" s="235"/>
      <c r="GC44" s="235"/>
      <c r="GD44" s="235"/>
      <c r="GE44" s="235"/>
      <c r="GF44" s="235"/>
      <c r="GG44" s="235"/>
      <c r="GH44" s="235"/>
      <c r="GI44" s="235"/>
      <c r="GJ44" s="235"/>
      <c r="GK44" s="235"/>
      <c r="GL44" s="235"/>
      <c r="GM44" s="235"/>
      <c r="GN44" s="235"/>
      <c r="GO44" s="235"/>
      <c r="GP44" s="235"/>
      <c r="GQ44" s="235"/>
      <c r="GR44" s="235"/>
      <c r="GS44" s="235"/>
      <c r="GT44" s="235"/>
      <c r="GU44" s="235"/>
      <c r="GV44" s="235"/>
      <c r="GW44" s="235"/>
      <c r="GX44" s="235"/>
      <c r="GY44" s="235"/>
      <c r="GZ44" s="235"/>
      <c r="HA44" s="235"/>
      <c r="HB44" s="235"/>
      <c r="HC44" s="235"/>
      <c r="HD44" s="235"/>
      <c r="HE44" s="235"/>
      <c r="HF44" s="235"/>
      <c r="HG44" s="235"/>
      <c r="HH44" s="235"/>
      <c r="HI44" s="235"/>
      <c r="HJ44" s="235"/>
      <c r="HK44" s="235"/>
      <c r="HL44" s="235"/>
      <c r="HM44" s="235"/>
      <c r="HN44" s="235"/>
      <c r="HO44" s="235"/>
      <c r="HP44" s="235"/>
      <c r="HQ44" s="235"/>
      <c r="HR44" s="235"/>
      <c r="HS44" s="235"/>
      <c r="HT44" s="235"/>
      <c r="HU44" s="235"/>
      <c r="HV44" s="235"/>
      <c r="HW44" s="235"/>
      <c r="HX44" s="235"/>
      <c r="HY44" s="235"/>
      <c r="HZ44" s="235"/>
      <c r="IA44" s="235"/>
      <c r="IB44" s="235"/>
      <c r="IC44" s="235"/>
      <c r="ID44" s="235"/>
      <c r="IE44" s="235"/>
      <c r="IF44" s="235"/>
      <c r="IG44" s="235"/>
      <c r="IH44" s="235"/>
      <c r="II44" s="235"/>
      <c r="IJ44" s="235"/>
      <c r="IK44" s="235"/>
      <c r="IL44" s="235"/>
      <c r="IM44" s="235"/>
      <c r="IN44" s="235"/>
      <c r="IO44" s="235"/>
      <c r="IP44" s="235"/>
      <c r="IQ44" s="235"/>
      <c r="IR44" s="235"/>
      <c r="IS44" s="235"/>
      <c r="IT44" s="235"/>
      <c r="IU44" s="235"/>
      <c r="IV44" s="235"/>
    </row>
    <row r="45" spans="1:256" customFormat="1" ht="39" customHeight="1">
      <c r="A45" s="539" t="s">
        <v>132</v>
      </c>
      <c r="B45" s="540"/>
      <c r="C45" s="541"/>
      <c r="D45" s="541"/>
      <c r="E45" s="541"/>
      <c r="F45" s="541"/>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5"/>
      <c r="BR45" s="235"/>
      <c r="BS45" s="235"/>
      <c r="BT45" s="235"/>
      <c r="BU45" s="235"/>
      <c r="BV45" s="235"/>
      <c r="BW45" s="235"/>
      <c r="BX45" s="235"/>
      <c r="BY45" s="235"/>
      <c r="BZ45" s="235"/>
      <c r="CA45" s="235"/>
      <c r="CB45" s="235"/>
      <c r="CC45" s="235"/>
      <c r="CD45" s="235"/>
      <c r="CE45" s="235"/>
      <c r="CF45" s="235"/>
      <c r="CG45" s="235"/>
      <c r="CH45" s="235"/>
      <c r="CI45" s="235"/>
      <c r="CJ45" s="235"/>
      <c r="CK45" s="235"/>
      <c r="CL45" s="235"/>
      <c r="CM45" s="235"/>
      <c r="CN45" s="235"/>
      <c r="CO45" s="235"/>
      <c r="CP45" s="235"/>
      <c r="CQ45" s="235"/>
      <c r="CR45" s="235"/>
      <c r="CS45" s="235"/>
      <c r="CT45" s="235"/>
      <c r="CU45" s="235"/>
      <c r="CV45" s="235"/>
      <c r="CW45" s="235"/>
      <c r="CX45" s="235"/>
      <c r="CY45" s="235"/>
      <c r="CZ45" s="235"/>
      <c r="DA45" s="235"/>
      <c r="DB45" s="235"/>
      <c r="DC45" s="235"/>
      <c r="DD45" s="235"/>
      <c r="DE45" s="235"/>
      <c r="DF45" s="235"/>
      <c r="DG45" s="235"/>
      <c r="DH45" s="235"/>
      <c r="DI45" s="235"/>
      <c r="DJ45" s="235"/>
      <c r="DK45" s="235"/>
      <c r="DL45" s="235"/>
      <c r="DM45" s="235"/>
      <c r="DN45" s="235"/>
      <c r="DO45" s="235"/>
      <c r="DP45" s="235"/>
      <c r="DQ45" s="235"/>
      <c r="DR45" s="235"/>
      <c r="DS45" s="235"/>
      <c r="DT45" s="235"/>
      <c r="DU45" s="235"/>
      <c r="DV45" s="235"/>
      <c r="DW45" s="235"/>
      <c r="DX45" s="235"/>
      <c r="DY45" s="235"/>
      <c r="DZ45" s="235"/>
      <c r="EA45" s="235"/>
      <c r="EB45" s="235"/>
      <c r="EC45" s="235"/>
      <c r="ED45" s="235"/>
      <c r="EE45" s="235"/>
      <c r="EF45" s="235"/>
      <c r="EG45" s="235"/>
      <c r="EH45" s="235"/>
      <c r="EI45" s="235"/>
      <c r="EJ45" s="235"/>
      <c r="EK45" s="235"/>
      <c r="EL45" s="235"/>
      <c r="EM45" s="235"/>
      <c r="EN45" s="235"/>
      <c r="EO45" s="235"/>
      <c r="EP45" s="235"/>
      <c r="EQ45" s="235"/>
      <c r="ER45" s="235"/>
      <c r="ES45" s="235"/>
      <c r="ET45" s="235"/>
      <c r="EU45" s="235"/>
      <c r="EV45" s="235"/>
      <c r="EW45" s="235"/>
      <c r="EX45" s="235"/>
      <c r="EY45" s="235"/>
      <c r="EZ45" s="235"/>
      <c r="FA45" s="235"/>
      <c r="FB45" s="235"/>
      <c r="FC45" s="235"/>
      <c r="FD45" s="235"/>
      <c r="FE45" s="235"/>
      <c r="FF45" s="235"/>
      <c r="FG45" s="235"/>
      <c r="FH45" s="235"/>
      <c r="FI45" s="235"/>
      <c r="FJ45" s="235"/>
      <c r="FK45" s="235"/>
      <c r="FL45" s="235"/>
      <c r="FM45" s="235"/>
      <c r="FN45" s="235"/>
      <c r="FO45" s="235"/>
      <c r="FP45" s="235"/>
      <c r="FQ45" s="235"/>
      <c r="FR45" s="235"/>
      <c r="FS45" s="235"/>
      <c r="FT45" s="235"/>
      <c r="FU45" s="235"/>
      <c r="FV45" s="235"/>
      <c r="FW45" s="235"/>
      <c r="FX45" s="235"/>
      <c r="FY45" s="235"/>
      <c r="FZ45" s="235"/>
      <c r="GA45" s="235"/>
      <c r="GB45" s="235"/>
      <c r="GC45" s="235"/>
      <c r="GD45" s="235"/>
      <c r="GE45" s="235"/>
      <c r="GF45" s="235"/>
      <c r="GG45" s="235"/>
      <c r="GH45" s="235"/>
      <c r="GI45" s="235"/>
      <c r="GJ45" s="235"/>
      <c r="GK45" s="235"/>
      <c r="GL45" s="235"/>
      <c r="GM45" s="235"/>
      <c r="GN45" s="235"/>
      <c r="GO45" s="235"/>
      <c r="GP45" s="235"/>
      <c r="GQ45" s="235"/>
      <c r="GR45" s="235"/>
      <c r="GS45" s="235"/>
      <c r="GT45" s="235"/>
      <c r="GU45" s="235"/>
      <c r="GV45" s="235"/>
      <c r="GW45" s="235"/>
      <c r="GX45" s="235"/>
      <c r="GY45" s="235"/>
      <c r="GZ45" s="235"/>
      <c r="HA45" s="235"/>
      <c r="HB45" s="235"/>
      <c r="HC45" s="235"/>
      <c r="HD45" s="235"/>
      <c r="HE45" s="235"/>
      <c r="HF45" s="235"/>
      <c r="HG45" s="235"/>
      <c r="HH45" s="235"/>
      <c r="HI45" s="235"/>
      <c r="HJ45" s="235"/>
      <c r="HK45" s="235"/>
      <c r="HL45" s="235"/>
      <c r="HM45" s="235"/>
      <c r="HN45" s="235"/>
      <c r="HO45" s="235"/>
      <c r="HP45" s="235"/>
      <c r="HQ45" s="235"/>
      <c r="HR45" s="235"/>
      <c r="HS45" s="235"/>
      <c r="HT45" s="235"/>
      <c r="HU45" s="235"/>
      <c r="HV45" s="235"/>
      <c r="HW45" s="235"/>
      <c r="HX45" s="235"/>
      <c r="HY45" s="235"/>
      <c r="HZ45" s="235"/>
      <c r="IA45" s="235"/>
      <c r="IB45" s="235"/>
      <c r="IC45" s="235"/>
      <c r="ID45" s="235"/>
      <c r="IE45" s="235"/>
      <c r="IF45" s="235"/>
      <c r="IG45" s="235"/>
      <c r="IH45" s="235"/>
      <c r="II45" s="235"/>
      <c r="IJ45" s="235"/>
      <c r="IK45" s="235"/>
      <c r="IL45" s="235"/>
      <c r="IM45" s="235"/>
      <c r="IN45" s="235"/>
      <c r="IO45" s="235"/>
      <c r="IP45" s="235"/>
      <c r="IQ45" s="235"/>
      <c r="IR45" s="235"/>
      <c r="IS45" s="235"/>
      <c r="IT45" s="235"/>
      <c r="IU45" s="235"/>
      <c r="IV45" s="235"/>
    </row>
    <row r="46" spans="1:256" customFormat="1">
      <c r="A46" s="235"/>
      <c r="B46" s="513"/>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5"/>
      <c r="BR46" s="235"/>
      <c r="BS46" s="235"/>
      <c r="BT46" s="235"/>
      <c r="BU46" s="235"/>
      <c r="BV46" s="235"/>
      <c r="BW46" s="235"/>
      <c r="BX46" s="235"/>
      <c r="BY46" s="235"/>
      <c r="BZ46" s="235"/>
      <c r="CA46" s="235"/>
      <c r="CB46" s="235"/>
      <c r="CC46" s="235"/>
      <c r="CD46" s="235"/>
      <c r="CE46" s="235"/>
      <c r="CF46" s="235"/>
      <c r="CG46" s="235"/>
      <c r="CH46" s="235"/>
      <c r="CI46" s="235"/>
      <c r="CJ46" s="235"/>
      <c r="CK46" s="235"/>
      <c r="CL46" s="235"/>
      <c r="CM46" s="235"/>
      <c r="CN46" s="235"/>
      <c r="CO46" s="235"/>
      <c r="CP46" s="235"/>
      <c r="CQ46" s="235"/>
      <c r="CR46" s="235"/>
      <c r="CS46" s="235"/>
      <c r="CT46" s="235"/>
      <c r="CU46" s="235"/>
      <c r="CV46" s="235"/>
      <c r="CW46" s="235"/>
      <c r="CX46" s="235"/>
      <c r="CY46" s="235"/>
      <c r="CZ46" s="235"/>
      <c r="DA46" s="235"/>
      <c r="DB46" s="235"/>
      <c r="DC46" s="235"/>
      <c r="DD46" s="235"/>
      <c r="DE46" s="235"/>
      <c r="DF46" s="235"/>
      <c r="DG46" s="235"/>
      <c r="DH46" s="235"/>
      <c r="DI46" s="235"/>
      <c r="DJ46" s="235"/>
      <c r="DK46" s="235"/>
      <c r="DL46" s="235"/>
      <c r="DM46" s="235"/>
      <c r="DN46" s="235"/>
      <c r="DO46" s="235"/>
      <c r="DP46" s="235"/>
      <c r="DQ46" s="235"/>
      <c r="DR46" s="235"/>
      <c r="DS46" s="235"/>
      <c r="DT46" s="235"/>
      <c r="DU46" s="235"/>
      <c r="DV46" s="235"/>
      <c r="DW46" s="235"/>
      <c r="DX46" s="235"/>
      <c r="DY46" s="235"/>
      <c r="DZ46" s="235"/>
      <c r="EA46" s="235"/>
      <c r="EB46" s="235"/>
      <c r="EC46" s="235"/>
      <c r="ED46" s="235"/>
      <c r="EE46" s="235"/>
      <c r="EF46" s="235"/>
      <c r="EG46" s="235"/>
      <c r="EH46" s="235"/>
      <c r="EI46" s="235"/>
      <c r="EJ46" s="235"/>
      <c r="EK46" s="235"/>
      <c r="EL46" s="235"/>
      <c r="EM46" s="235"/>
      <c r="EN46" s="235"/>
      <c r="EO46" s="235"/>
      <c r="EP46" s="235"/>
      <c r="EQ46" s="235"/>
      <c r="ER46" s="235"/>
      <c r="ES46" s="235"/>
      <c r="ET46" s="235"/>
      <c r="EU46" s="235"/>
      <c r="EV46" s="235"/>
      <c r="EW46" s="235"/>
      <c r="EX46" s="235"/>
      <c r="EY46" s="235"/>
      <c r="EZ46" s="235"/>
      <c r="FA46" s="235"/>
      <c r="FB46" s="235"/>
      <c r="FC46" s="235"/>
      <c r="FD46" s="235"/>
      <c r="FE46" s="235"/>
      <c r="FF46" s="235"/>
      <c r="FG46" s="235"/>
      <c r="FH46" s="235"/>
      <c r="FI46" s="235"/>
      <c r="FJ46" s="235"/>
      <c r="FK46" s="235"/>
      <c r="FL46" s="235"/>
      <c r="FM46" s="235"/>
      <c r="FN46" s="235"/>
      <c r="FO46" s="235"/>
      <c r="FP46" s="235"/>
      <c r="FQ46" s="235"/>
      <c r="FR46" s="235"/>
      <c r="FS46" s="235"/>
      <c r="FT46" s="235"/>
      <c r="FU46" s="235"/>
      <c r="FV46" s="235"/>
      <c r="FW46" s="235"/>
      <c r="FX46" s="235"/>
      <c r="FY46" s="235"/>
      <c r="FZ46" s="235"/>
      <c r="GA46" s="235"/>
      <c r="GB46" s="235"/>
      <c r="GC46" s="235"/>
      <c r="GD46" s="235"/>
      <c r="GE46" s="235"/>
      <c r="GF46" s="235"/>
      <c r="GG46" s="235"/>
      <c r="GH46" s="235"/>
      <c r="GI46" s="235"/>
      <c r="GJ46" s="235"/>
      <c r="GK46" s="235"/>
      <c r="GL46" s="235"/>
      <c r="GM46" s="235"/>
      <c r="GN46" s="235"/>
      <c r="GO46" s="235"/>
      <c r="GP46" s="235"/>
      <c r="GQ46" s="235"/>
      <c r="GR46" s="235"/>
      <c r="GS46" s="235"/>
      <c r="GT46" s="235"/>
      <c r="GU46" s="235"/>
      <c r="GV46" s="235"/>
      <c r="GW46" s="235"/>
      <c r="GX46" s="235"/>
      <c r="GY46" s="235"/>
      <c r="GZ46" s="235"/>
      <c r="HA46" s="235"/>
      <c r="HB46" s="235"/>
      <c r="HC46" s="235"/>
      <c r="HD46" s="235"/>
      <c r="HE46" s="235"/>
      <c r="HF46" s="235"/>
      <c r="HG46" s="235"/>
      <c r="HH46" s="235"/>
      <c r="HI46" s="235"/>
      <c r="HJ46" s="235"/>
      <c r="HK46" s="235"/>
      <c r="HL46" s="235"/>
      <c r="HM46" s="235"/>
      <c r="HN46" s="235"/>
      <c r="HO46" s="235"/>
      <c r="HP46" s="235"/>
      <c r="HQ46" s="235"/>
      <c r="HR46" s="235"/>
      <c r="HS46" s="235"/>
      <c r="HT46" s="235"/>
      <c r="HU46" s="235"/>
      <c r="HV46" s="235"/>
      <c r="HW46" s="235"/>
      <c r="HX46" s="235"/>
      <c r="HY46" s="235"/>
      <c r="HZ46" s="235"/>
      <c r="IA46" s="235"/>
      <c r="IB46" s="235"/>
      <c r="IC46" s="235"/>
      <c r="ID46" s="235"/>
      <c r="IE46" s="235"/>
      <c r="IF46" s="235"/>
      <c r="IG46" s="235"/>
      <c r="IH46" s="235"/>
      <c r="II46" s="235"/>
      <c r="IJ46" s="235"/>
      <c r="IK46" s="235"/>
      <c r="IL46" s="235"/>
      <c r="IM46" s="235"/>
      <c r="IN46" s="235"/>
      <c r="IO46" s="235"/>
      <c r="IP46" s="235"/>
      <c r="IQ46" s="235"/>
      <c r="IR46" s="235"/>
      <c r="IS46" s="235"/>
      <c r="IT46" s="235"/>
      <c r="IU46" s="235"/>
      <c r="IV46" s="235"/>
    </row>
  </sheetData>
  <mergeCells count="2">
    <mergeCell ref="A44:F44"/>
    <mergeCell ref="A45:F45"/>
  </mergeCells>
  <phoneticPr fontId="2" type="noConversion"/>
  <printOptions horizontalCentered="1"/>
  <pageMargins left="0.78680555555555598" right="0.78680555555555598" top="1.0625" bottom="0.90416666666666701" header="0.196527777777778" footer="0.70763888888888904"/>
  <pageSetup paperSize="9" orientation="portrait" horizontalDpi="180" verticalDpi="180"/>
  <headerFooter alignWithMargins="0">
    <oddFooter>&amp;C第 &amp;P 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J23"/>
  <sheetViews>
    <sheetView showZeros="0" workbookViewId="0">
      <selection activeCell="C18" sqref="C18"/>
    </sheetView>
  </sheetViews>
  <sheetFormatPr defaultColWidth="9" defaultRowHeight="15.75"/>
  <cols>
    <col min="1" max="1" width="35.125" style="193" customWidth="1"/>
    <col min="2" max="2" width="15.625" style="193" customWidth="1"/>
    <col min="3" max="3" width="15.75" style="193" customWidth="1"/>
    <col min="4" max="4" width="22" style="193" customWidth="1"/>
    <col min="5" max="244" width="9" style="193"/>
  </cols>
  <sheetData>
    <row r="1" spans="1:4" s="192" customFormat="1" ht="48.75" customHeight="1">
      <c r="A1" s="209" t="s">
        <v>38</v>
      </c>
      <c r="B1" s="210"/>
      <c r="C1" s="210"/>
      <c r="D1" s="210"/>
    </row>
    <row r="2" spans="1:4" ht="18.75" customHeight="1">
      <c r="A2" s="194"/>
      <c r="B2" s="194"/>
      <c r="C2" s="194"/>
      <c r="D2" s="212" t="s">
        <v>210</v>
      </c>
    </row>
    <row r="3" spans="1:4" ht="30" customHeight="1">
      <c r="A3" s="213" t="s">
        <v>877</v>
      </c>
      <c r="B3" s="232" t="s">
        <v>878</v>
      </c>
      <c r="C3" s="213" t="s">
        <v>879</v>
      </c>
      <c r="D3" s="213" t="s">
        <v>274</v>
      </c>
    </row>
    <row r="4" spans="1:4" ht="30" customHeight="1">
      <c r="A4" s="216" t="s">
        <v>880</v>
      </c>
      <c r="B4" s="218"/>
      <c r="C4" s="218"/>
      <c r="D4" s="233"/>
    </row>
    <row r="5" spans="1:4" ht="30" customHeight="1">
      <c r="A5" s="216" t="s">
        <v>881</v>
      </c>
      <c r="B5" s="218"/>
      <c r="C5" s="218"/>
      <c r="D5" s="233"/>
    </row>
    <row r="6" spans="1:4" ht="30" customHeight="1">
      <c r="A6" s="216" t="s">
        <v>882</v>
      </c>
      <c r="B6" s="218"/>
      <c r="C6" s="218"/>
      <c r="D6" s="233"/>
    </row>
    <row r="7" spans="1:4" ht="30" customHeight="1">
      <c r="A7" s="216" t="s">
        <v>883</v>
      </c>
      <c r="B7" s="218">
        <v>13026</v>
      </c>
      <c r="C7" s="218"/>
      <c r="D7" s="233">
        <f t="shared" ref="D7:D10" si="0">+(C7-B7)/B7*100</f>
        <v>-100</v>
      </c>
    </row>
    <row r="8" spans="1:4" ht="30" customHeight="1">
      <c r="A8" s="216" t="s">
        <v>884</v>
      </c>
      <c r="B8" s="218">
        <v>2001</v>
      </c>
      <c r="C8" s="218">
        <v>190</v>
      </c>
      <c r="D8" s="233">
        <f t="shared" si="0"/>
        <v>-90.504747626186912</v>
      </c>
    </row>
    <row r="9" spans="1:4" ht="30" customHeight="1">
      <c r="A9" s="216" t="s">
        <v>885</v>
      </c>
      <c r="B9" s="218">
        <f>SUM(B10:B12)</f>
        <v>594826</v>
      </c>
      <c r="C9" s="218">
        <f>SUM(C10:C12)</f>
        <v>541046</v>
      </c>
      <c r="D9" s="233">
        <f t="shared" si="0"/>
        <v>-9.0412994724507669</v>
      </c>
    </row>
    <row r="10" spans="1:4" ht="30" customHeight="1">
      <c r="A10" s="220" t="s">
        <v>886</v>
      </c>
      <c r="B10" s="218">
        <v>476914</v>
      </c>
      <c r="C10" s="218">
        <v>423120</v>
      </c>
      <c r="D10" s="233">
        <f t="shared" si="0"/>
        <v>-11.279601773066004</v>
      </c>
    </row>
    <row r="11" spans="1:4" ht="30" customHeight="1">
      <c r="A11" s="220" t="s">
        <v>887</v>
      </c>
      <c r="B11" s="218">
        <v>9754</v>
      </c>
      <c r="C11" s="218"/>
      <c r="D11" s="233"/>
    </row>
    <row r="12" spans="1:4" ht="30" customHeight="1">
      <c r="A12" s="220" t="s">
        <v>888</v>
      </c>
      <c r="B12" s="218">
        <f>7091+101067</f>
        <v>108158</v>
      </c>
      <c r="C12" s="218">
        <v>117926</v>
      </c>
      <c r="D12" s="233">
        <f t="shared" ref="D12" si="1">+(C12-B12)/B12*100</f>
        <v>9.03123208639213</v>
      </c>
    </row>
    <row r="13" spans="1:4" ht="30" customHeight="1">
      <c r="A13" s="216" t="s">
        <v>889</v>
      </c>
      <c r="B13" s="218">
        <v>100</v>
      </c>
      <c r="C13" s="218">
        <v>100</v>
      </c>
      <c r="D13" s="233"/>
    </row>
    <row r="14" spans="1:4" ht="30" customHeight="1">
      <c r="A14" s="216" t="s">
        <v>890</v>
      </c>
      <c r="B14" s="218">
        <v>59034</v>
      </c>
      <c r="C14" s="218">
        <v>15872</v>
      </c>
      <c r="D14" s="233">
        <f t="shared" ref="D14:D18" si="2">+(C14-B14)/B14*100</f>
        <v>-73.113798827794156</v>
      </c>
    </row>
    <row r="15" spans="1:4" ht="30" customHeight="1">
      <c r="A15" s="216" t="s">
        <v>891</v>
      </c>
      <c r="B15" s="218">
        <v>38</v>
      </c>
      <c r="C15" s="218">
        <v>50</v>
      </c>
      <c r="D15" s="233">
        <f t="shared" si="2"/>
        <v>31.578947368421051</v>
      </c>
    </row>
    <row r="16" spans="1:4" ht="30" customHeight="1">
      <c r="A16" s="221" t="s">
        <v>892</v>
      </c>
      <c r="B16" s="218">
        <v>5897</v>
      </c>
      <c r="C16" s="218">
        <v>4700</v>
      </c>
      <c r="D16" s="233">
        <f t="shared" si="2"/>
        <v>-20.298456842462269</v>
      </c>
    </row>
    <row r="17" spans="1:242" ht="30" customHeight="1">
      <c r="A17" s="216" t="s">
        <v>893</v>
      </c>
      <c r="B17" s="218">
        <v>164347</v>
      </c>
      <c r="C17" s="218">
        <v>194454</v>
      </c>
      <c r="D17" s="233">
        <f t="shared" si="2"/>
        <v>18.31916615453887</v>
      </c>
    </row>
    <row r="18" spans="1:242" ht="30" customHeight="1">
      <c r="A18" s="234" t="s">
        <v>190</v>
      </c>
      <c r="B18" s="218">
        <f>B4+B5+B6+B7+B8+B9+B13+B14+B15+B16+B17</f>
        <v>839269</v>
      </c>
      <c r="C18" s="218">
        <f>C4+C5+C6+C7+C8+C9+C13+C14+C15+C16+C17</f>
        <v>756412</v>
      </c>
      <c r="D18" s="233">
        <f t="shared" si="2"/>
        <v>-9.8725200144411378</v>
      </c>
    </row>
    <row r="19" spans="1:242" ht="74.25" customHeight="1">
      <c r="A19" s="549"/>
      <c r="B19" s="549"/>
      <c r="C19" s="549"/>
      <c r="D19" s="549"/>
    </row>
    <row r="20" spans="1:242" ht="28.5" customHeight="1"/>
    <row r="21" spans="1:242" ht="28.5" customHeight="1"/>
    <row r="22" spans="1:242" ht="28.5" customHeight="1"/>
    <row r="23" spans="1:242" ht="80.099999999999994" customHeight="1">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5"/>
      <c r="BO23" s="235"/>
      <c r="BP23" s="235"/>
      <c r="BQ23" s="235"/>
      <c r="BR23" s="235"/>
      <c r="BS23" s="235"/>
      <c r="BT23" s="235"/>
      <c r="BU23" s="235"/>
      <c r="BV23" s="235"/>
      <c r="BW23" s="235"/>
      <c r="BX23" s="235"/>
      <c r="BY23" s="235"/>
      <c r="BZ23" s="235"/>
      <c r="CA23" s="235"/>
      <c r="CB23" s="235"/>
      <c r="CC23" s="235"/>
      <c r="CD23" s="235"/>
      <c r="CE23" s="235"/>
      <c r="CF23" s="235"/>
      <c r="CG23" s="235"/>
      <c r="CH23" s="235"/>
      <c r="CI23" s="235"/>
      <c r="CJ23" s="235"/>
      <c r="CK23" s="235"/>
      <c r="CL23" s="235"/>
      <c r="CM23" s="235"/>
      <c r="CN23" s="235"/>
      <c r="CO23" s="235"/>
      <c r="CP23" s="235"/>
      <c r="CQ23" s="235"/>
      <c r="CR23" s="235"/>
      <c r="CS23" s="235"/>
      <c r="CT23" s="235"/>
      <c r="CU23" s="235"/>
      <c r="CV23" s="235"/>
      <c r="CW23" s="235"/>
      <c r="CX23" s="235"/>
      <c r="CY23" s="235"/>
      <c r="CZ23" s="235"/>
      <c r="DA23" s="235"/>
      <c r="DB23" s="235"/>
      <c r="DC23" s="235"/>
      <c r="DD23" s="235"/>
      <c r="DE23" s="235"/>
      <c r="DF23" s="235"/>
      <c r="DG23" s="235"/>
      <c r="DH23" s="235"/>
      <c r="DI23" s="235"/>
      <c r="DJ23" s="235"/>
      <c r="DK23" s="235"/>
      <c r="DL23" s="235"/>
      <c r="DM23" s="235"/>
      <c r="DN23" s="235"/>
      <c r="DO23" s="235"/>
      <c r="DP23" s="235"/>
      <c r="DQ23" s="235"/>
      <c r="DR23" s="235"/>
      <c r="DS23" s="235"/>
      <c r="DT23" s="235"/>
      <c r="DU23" s="235"/>
      <c r="DV23" s="235"/>
      <c r="DW23" s="235"/>
      <c r="DX23" s="235"/>
      <c r="DY23" s="235"/>
      <c r="DZ23" s="235"/>
      <c r="EA23" s="235"/>
      <c r="EB23" s="235"/>
      <c r="EC23" s="235"/>
      <c r="ED23" s="235"/>
      <c r="EE23" s="235"/>
      <c r="EF23" s="235"/>
      <c r="EG23" s="235"/>
      <c r="EH23" s="235"/>
      <c r="EI23" s="235"/>
      <c r="EJ23" s="235"/>
      <c r="EK23" s="235"/>
      <c r="EL23" s="235"/>
      <c r="EM23" s="235"/>
      <c r="EN23" s="235"/>
      <c r="EO23" s="235"/>
      <c r="EP23" s="235"/>
      <c r="EQ23" s="235"/>
      <c r="ER23" s="235"/>
      <c r="ES23" s="235"/>
      <c r="ET23" s="235"/>
      <c r="EU23" s="235"/>
      <c r="EV23" s="235"/>
      <c r="EW23" s="235"/>
      <c r="EX23" s="235"/>
      <c r="EY23" s="235"/>
      <c r="EZ23" s="235"/>
      <c r="FA23" s="235"/>
      <c r="FB23" s="235"/>
      <c r="FC23" s="235"/>
      <c r="FD23" s="235"/>
      <c r="FE23" s="235"/>
      <c r="FF23" s="235"/>
      <c r="FG23" s="235"/>
      <c r="FH23" s="235"/>
      <c r="FI23" s="235"/>
      <c r="FJ23" s="235"/>
      <c r="FK23" s="235"/>
      <c r="FL23" s="235"/>
      <c r="FM23" s="235"/>
      <c r="FN23" s="235"/>
      <c r="FO23" s="235"/>
      <c r="FP23" s="235"/>
      <c r="FQ23" s="235"/>
      <c r="FR23" s="235"/>
      <c r="FS23" s="235"/>
      <c r="FT23" s="235"/>
      <c r="FU23" s="235"/>
      <c r="FV23" s="235"/>
      <c r="FW23" s="235"/>
      <c r="FX23" s="235"/>
      <c r="FY23" s="235"/>
      <c r="FZ23" s="235"/>
      <c r="GA23" s="235"/>
      <c r="GB23" s="235"/>
      <c r="GC23" s="235"/>
      <c r="GD23" s="235"/>
      <c r="GE23" s="235"/>
      <c r="GF23" s="235"/>
      <c r="GG23" s="235"/>
      <c r="GH23" s="235"/>
      <c r="GI23" s="235"/>
      <c r="GJ23" s="235"/>
      <c r="GK23" s="235"/>
      <c r="GL23" s="235"/>
      <c r="GM23" s="235"/>
      <c r="GN23" s="235"/>
      <c r="GO23" s="235"/>
      <c r="GP23" s="235"/>
      <c r="GQ23" s="235"/>
      <c r="GR23" s="235"/>
      <c r="GS23" s="235"/>
      <c r="GT23" s="235"/>
      <c r="GU23" s="235"/>
      <c r="GV23" s="235"/>
      <c r="GW23" s="235"/>
      <c r="GX23" s="235"/>
      <c r="GY23" s="235"/>
      <c r="GZ23" s="235"/>
      <c r="HA23" s="235"/>
      <c r="HB23" s="235"/>
      <c r="HC23" s="235"/>
      <c r="HD23" s="235"/>
      <c r="HE23" s="235"/>
      <c r="HF23" s="235"/>
      <c r="HG23" s="235"/>
      <c r="HH23" s="235"/>
      <c r="HI23" s="235"/>
      <c r="HJ23" s="235"/>
      <c r="HK23" s="235"/>
      <c r="HL23" s="235"/>
      <c r="HM23" s="235"/>
      <c r="HN23" s="235"/>
      <c r="HO23" s="235"/>
      <c r="HP23" s="235"/>
      <c r="HQ23" s="235"/>
      <c r="HR23" s="235"/>
      <c r="HS23" s="235"/>
      <c r="HT23" s="235"/>
      <c r="HU23" s="235"/>
      <c r="HV23" s="235"/>
      <c r="HW23" s="235"/>
      <c r="HX23" s="235"/>
      <c r="HY23" s="235"/>
      <c r="HZ23" s="235"/>
      <c r="IA23" s="235"/>
      <c r="IB23" s="235"/>
      <c r="IC23" s="235"/>
      <c r="ID23" s="235"/>
      <c r="IE23"/>
      <c r="IF23"/>
      <c r="IG23"/>
      <c r="IH23"/>
    </row>
  </sheetData>
  <mergeCells count="1">
    <mergeCell ref="A19:D19"/>
  </mergeCells>
  <phoneticPr fontId="2" type="noConversion"/>
  <printOptions horizontalCentered="1"/>
  <pageMargins left="0.79027777777777797" right="0.79027777777777797" top="0.97916666666666696" bottom="0.97916666666666696" header="0.2" footer="0.79027777777777797"/>
  <pageSetup paperSize="9" firstPageNumber="17" orientation="portrait" useFirstPageNumber="1"/>
  <headerFooter alignWithMargins="0">
    <oddFooter>&amp;C第 &amp;P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II29"/>
  <sheetViews>
    <sheetView showZeros="0" topLeftCell="A5" zoomScale="115" zoomScaleNormal="115" workbookViewId="0">
      <selection activeCell="A17" sqref="A17"/>
    </sheetView>
  </sheetViews>
  <sheetFormatPr defaultColWidth="9" defaultRowHeight="15.75"/>
  <cols>
    <col min="1" max="1" width="36.5" style="193" customWidth="1"/>
    <col min="2" max="2" width="16.5" style="193" customWidth="1"/>
    <col min="3" max="3" width="15.375" style="193" customWidth="1"/>
    <col min="4" max="4" width="12.875" style="193" customWidth="1"/>
    <col min="5" max="242" width="9" style="193"/>
  </cols>
  <sheetData>
    <row r="1" spans="1:243" s="192" customFormat="1" ht="33" customHeight="1">
      <c r="A1" s="542" t="s">
        <v>40</v>
      </c>
      <c r="B1" s="542"/>
      <c r="C1" s="542"/>
      <c r="D1" s="542"/>
    </row>
    <row r="2" spans="1:243" s="193" customFormat="1" ht="23.1" customHeight="1">
      <c r="A2" s="194"/>
      <c r="B2" s="195"/>
      <c r="C2" s="195"/>
      <c r="D2" s="228" t="s">
        <v>81</v>
      </c>
      <c r="II2"/>
    </row>
    <row r="3" spans="1:243" s="193" customFormat="1" ht="33.950000000000003" customHeight="1">
      <c r="A3" s="196" t="s">
        <v>280</v>
      </c>
      <c r="B3" s="196" t="s">
        <v>281</v>
      </c>
      <c r="C3" s="196" t="s">
        <v>879</v>
      </c>
      <c r="D3" s="196" t="s">
        <v>283</v>
      </c>
      <c r="II3"/>
    </row>
    <row r="4" spans="1:243" s="193" customFormat="1" ht="20.100000000000001" customHeight="1">
      <c r="A4" s="29" t="s">
        <v>894</v>
      </c>
      <c r="B4" s="229">
        <f>+B5</f>
        <v>246</v>
      </c>
      <c r="C4" s="229">
        <f>+C5</f>
        <v>342</v>
      </c>
      <c r="D4" s="230">
        <f t="shared" ref="D4" si="0">+(C4-B4)/B4*100</f>
        <v>39.024390243902438</v>
      </c>
      <c r="II4"/>
    </row>
    <row r="5" spans="1:243" s="193" customFormat="1" ht="20.100000000000001" customHeight="1">
      <c r="A5" s="231" t="s">
        <v>895</v>
      </c>
      <c r="B5" s="229">
        <f>453-207</f>
        <v>246</v>
      </c>
      <c r="C5" s="229">
        <v>342</v>
      </c>
      <c r="D5" s="230">
        <f t="shared" ref="D5:D10" si="1">+(C5-B5)/B5*100</f>
        <v>39.024390243902438</v>
      </c>
      <c r="II5"/>
    </row>
    <row r="6" spans="1:243" s="193" customFormat="1" ht="20.100000000000001" customHeight="1">
      <c r="A6" s="29" t="s">
        <v>896</v>
      </c>
      <c r="B6" s="229">
        <f>+B7+B8</f>
        <v>15424</v>
      </c>
      <c r="C6" s="229">
        <f>+C7+C8</f>
        <v>14150</v>
      </c>
      <c r="D6" s="230">
        <f t="shared" si="1"/>
        <v>-8.2598547717842319</v>
      </c>
      <c r="II6"/>
    </row>
    <row r="7" spans="1:243" s="193" customFormat="1" ht="20.100000000000001" customHeight="1">
      <c r="A7" s="231" t="s">
        <v>897</v>
      </c>
      <c r="B7" s="229">
        <f>17386-2062</f>
        <v>15324</v>
      </c>
      <c r="C7" s="229">
        <v>14050</v>
      </c>
      <c r="D7" s="230">
        <f t="shared" si="1"/>
        <v>-8.3137561994257361</v>
      </c>
      <c r="II7"/>
    </row>
    <row r="8" spans="1:243" s="193" customFormat="1" ht="20.100000000000001" customHeight="1">
      <c r="A8" s="231" t="s">
        <v>898</v>
      </c>
      <c r="B8" s="229">
        <v>100</v>
      </c>
      <c r="C8" s="229">
        <v>100</v>
      </c>
      <c r="D8" s="230">
        <f t="shared" si="1"/>
        <v>0</v>
      </c>
      <c r="II8"/>
    </row>
    <row r="9" spans="1:243" s="193" customFormat="1" ht="20.100000000000001" customHeight="1">
      <c r="A9" s="29" t="s">
        <v>899</v>
      </c>
      <c r="B9" s="229">
        <f>SUM(B10:B14)</f>
        <v>554007</v>
      </c>
      <c r="C9" s="229">
        <f>SUM(C10:C14)</f>
        <v>490640</v>
      </c>
      <c r="D9" s="230">
        <f t="shared" si="1"/>
        <v>-11.437942119864912</v>
      </c>
      <c r="II9"/>
    </row>
    <row r="10" spans="1:243" s="193" customFormat="1" ht="20.100000000000001" customHeight="1">
      <c r="A10" s="31" t="s">
        <v>900</v>
      </c>
      <c r="B10" s="229">
        <f>543755-3278-25100+1187-4456</f>
        <v>512108</v>
      </c>
      <c r="C10" s="229">
        <v>478262</v>
      </c>
      <c r="D10" s="230">
        <f t="shared" si="1"/>
        <v>-6.6091527568403547</v>
      </c>
      <c r="II10"/>
    </row>
    <row r="11" spans="1:243" s="193" customFormat="1" ht="20.100000000000001" customHeight="1">
      <c r="A11" s="31" t="s">
        <v>901</v>
      </c>
      <c r="B11" s="229">
        <v>5454</v>
      </c>
      <c r="C11" s="229"/>
      <c r="D11" s="230">
        <f t="shared" ref="D11:D16" si="2">+(C11-B11)/B11*100</f>
        <v>-100</v>
      </c>
      <c r="II11"/>
    </row>
    <row r="12" spans="1:243" s="193" customFormat="1" ht="20.100000000000001" customHeight="1">
      <c r="A12" s="31" t="s">
        <v>902</v>
      </c>
      <c r="B12" s="229">
        <v>386</v>
      </c>
      <c r="C12" s="229">
        <v>156</v>
      </c>
      <c r="D12" s="230">
        <f t="shared" si="2"/>
        <v>-59.585492227979273</v>
      </c>
      <c r="II12"/>
    </row>
    <row r="13" spans="1:243" s="193" customFormat="1" ht="20.100000000000001" customHeight="1">
      <c r="A13" s="31" t="s">
        <v>903</v>
      </c>
      <c r="B13" s="229">
        <v>31603</v>
      </c>
      <c r="C13" s="229">
        <v>7672</v>
      </c>
      <c r="D13" s="230">
        <f t="shared" si="2"/>
        <v>-75.723823687624588</v>
      </c>
      <c r="II13"/>
    </row>
    <row r="14" spans="1:243" s="193" customFormat="1" ht="20.100000000000001" customHeight="1">
      <c r="A14" s="32" t="s">
        <v>904</v>
      </c>
      <c r="B14" s="229">
        <v>4456</v>
      </c>
      <c r="C14" s="229">
        <v>4550</v>
      </c>
      <c r="D14" s="230">
        <f t="shared" si="2"/>
        <v>2.1095152603231599</v>
      </c>
      <c r="II14"/>
    </row>
    <row r="15" spans="1:243" s="193" customFormat="1" ht="20.100000000000001" customHeight="1">
      <c r="A15" s="29" t="s">
        <v>905</v>
      </c>
      <c r="B15" s="229">
        <f>+B16+B17</f>
        <v>721</v>
      </c>
      <c r="C15" s="229">
        <f>+C16+C17</f>
        <v>619</v>
      </c>
      <c r="D15" s="230">
        <f t="shared" si="2"/>
        <v>-14.147018030513175</v>
      </c>
      <c r="II15"/>
    </row>
    <row r="16" spans="1:243" s="193" customFormat="1" ht="20.100000000000001" customHeight="1">
      <c r="A16" s="32" t="s">
        <v>906</v>
      </c>
      <c r="B16" s="229">
        <f>1461-740</f>
        <v>721</v>
      </c>
      <c r="C16" s="229">
        <v>619</v>
      </c>
      <c r="D16" s="230">
        <f t="shared" si="2"/>
        <v>-14.147018030513175</v>
      </c>
      <c r="II16"/>
    </row>
    <row r="17" spans="1:243" s="193" customFormat="1" ht="20.100000000000001" customHeight="1">
      <c r="A17" s="32" t="s">
        <v>907</v>
      </c>
      <c r="B17" s="229"/>
      <c r="C17" s="229"/>
      <c r="D17" s="230"/>
      <c r="II17"/>
    </row>
    <row r="18" spans="1:243" s="193" customFormat="1" ht="20.100000000000001" customHeight="1">
      <c r="A18" s="35" t="s">
        <v>908</v>
      </c>
      <c r="B18" s="229">
        <f>+B19</f>
        <v>50</v>
      </c>
      <c r="C18" s="229">
        <f>+C19</f>
        <v>50</v>
      </c>
      <c r="D18" s="230">
        <f t="shared" ref="D18:D19" si="3">+(C18-B18)/B18*100</f>
        <v>0</v>
      </c>
      <c r="II18"/>
    </row>
    <row r="19" spans="1:243" s="193" customFormat="1" ht="20.100000000000001" customHeight="1">
      <c r="A19" s="32" t="s">
        <v>909</v>
      </c>
      <c r="B19" s="229">
        <v>50</v>
      </c>
      <c r="C19" s="229">
        <v>50</v>
      </c>
      <c r="D19" s="230">
        <f t="shared" si="3"/>
        <v>0</v>
      </c>
      <c r="II19"/>
    </row>
    <row r="20" spans="1:243" s="193" customFormat="1" ht="20.100000000000001" customHeight="1">
      <c r="A20" s="35" t="s">
        <v>910</v>
      </c>
      <c r="B20" s="229">
        <f>+B21</f>
        <v>0</v>
      </c>
      <c r="C20" s="229">
        <f>+C21</f>
        <v>0</v>
      </c>
      <c r="D20" s="230"/>
      <c r="II20"/>
    </row>
    <row r="21" spans="1:243" s="193" customFormat="1" ht="20.100000000000001" customHeight="1">
      <c r="A21" s="32" t="s">
        <v>911</v>
      </c>
      <c r="B21" s="229"/>
      <c r="C21" s="229">
        <v>0</v>
      </c>
      <c r="D21" s="230"/>
      <c r="II21"/>
    </row>
    <row r="22" spans="1:243" s="193" customFormat="1" ht="20.100000000000001" customHeight="1">
      <c r="A22" s="35" t="s">
        <v>912</v>
      </c>
      <c r="B22" s="229">
        <f>+B23+B24+B25</f>
        <v>66011</v>
      </c>
      <c r="C22" s="229">
        <f>+C23+C24+C25</f>
        <v>92121</v>
      </c>
      <c r="D22" s="230">
        <f>+(C22-B22)/B22*100</f>
        <v>39.554013724985232</v>
      </c>
      <c r="II22"/>
    </row>
    <row r="23" spans="1:243" s="193" customFormat="1" ht="20.100000000000001" customHeight="1">
      <c r="A23" s="32" t="s">
        <v>913</v>
      </c>
      <c r="B23" s="229">
        <v>58677</v>
      </c>
      <c r="C23" s="229">
        <v>84350</v>
      </c>
      <c r="D23" s="230">
        <f>+(C23-B23)/B23*100</f>
        <v>43.753088944560901</v>
      </c>
      <c r="II23"/>
    </row>
    <row r="24" spans="1:243" s="193" customFormat="1" ht="20.100000000000001" customHeight="1">
      <c r="A24" s="32" t="s">
        <v>914</v>
      </c>
      <c r="B24" s="229">
        <v>902</v>
      </c>
      <c r="C24" s="229">
        <v>105</v>
      </c>
      <c r="D24" s="230"/>
      <c r="II24"/>
    </row>
    <row r="25" spans="1:243" s="193" customFormat="1" ht="20.100000000000001" customHeight="1">
      <c r="A25" s="32" t="s">
        <v>915</v>
      </c>
      <c r="B25" s="229">
        <f>11694-5262</f>
        <v>6432</v>
      </c>
      <c r="C25" s="229">
        <v>7666</v>
      </c>
      <c r="D25" s="230">
        <f t="shared" ref="D25:D28" si="4">+(C25-B25)/B25*100</f>
        <v>19.185323383084576</v>
      </c>
      <c r="II25"/>
    </row>
    <row r="26" spans="1:243" s="193" customFormat="1" ht="20.100000000000001" customHeight="1">
      <c r="A26" s="35" t="s">
        <v>916</v>
      </c>
      <c r="B26" s="229">
        <f>+B27</f>
        <v>27016</v>
      </c>
      <c r="C26" s="229">
        <f>+C27</f>
        <v>12526</v>
      </c>
      <c r="D26" s="230">
        <f t="shared" si="4"/>
        <v>-53.634883032277173</v>
      </c>
      <c r="II26"/>
    </row>
    <row r="27" spans="1:243" s="193" customFormat="1" ht="20.100000000000001" customHeight="1">
      <c r="A27" s="32" t="s">
        <v>917</v>
      </c>
      <c r="B27" s="229">
        <f>5+35766-8755</f>
        <v>27016</v>
      </c>
      <c r="C27" s="229">
        <v>12526</v>
      </c>
      <c r="D27" s="230">
        <f t="shared" si="4"/>
        <v>-53.634883032277173</v>
      </c>
      <c r="II27"/>
    </row>
    <row r="28" spans="1:243" s="227" customFormat="1" ht="20.100000000000001" customHeight="1">
      <c r="A28" s="37" t="s">
        <v>206</v>
      </c>
      <c r="B28" s="218">
        <f>+B4+B6+B9+B15+B18+B20+B22+B26</f>
        <v>663475</v>
      </c>
      <c r="C28" s="218">
        <f>+C4+C6+C9+C15+C18+C20+C22+C26</f>
        <v>610448</v>
      </c>
      <c r="D28" s="230">
        <f t="shared" si="4"/>
        <v>-7.9923131994423304</v>
      </c>
    </row>
    <row r="29" spans="1:243" s="193" customFormat="1" ht="66" customHeight="1">
      <c r="A29" s="549"/>
      <c r="B29" s="549"/>
      <c r="C29" s="549"/>
      <c r="D29" s="549"/>
      <c r="IH29"/>
      <c r="II29"/>
    </row>
  </sheetData>
  <mergeCells count="2">
    <mergeCell ref="A1:D1"/>
    <mergeCell ref="A29:D29"/>
  </mergeCells>
  <phoneticPr fontId="2" type="noConversion"/>
  <printOptions horizontalCentered="1"/>
  <pageMargins left="0.79027777777777797" right="0.79027777777777797" top="0.97916666666666696" bottom="0.97916666666666696" header="0.2" footer="0.79027777777777797"/>
  <pageSetup paperSize="9" firstPageNumber="18" fitToHeight="2" orientation="portrait" useFirstPageNumber="1"/>
  <headerFooter alignWithMargins="0">
    <oddFooter>&amp;C第 &amp;P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V25"/>
  <sheetViews>
    <sheetView showZeros="0" topLeftCell="A11" workbookViewId="0">
      <selection activeCell="A26" sqref="A26"/>
    </sheetView>
  </sheetViews>
  <sheetFormatPr defaultColWidth="9" defaultRowHeight="15.75"/>
  <cols>
    <col min="1" max="1" width="35.125" style="193" customWidth="1"/>
    <col min="2" max="2" width="18.25" style="193" customWidth="1"/>
    <col min="3" max="3" width="17.5" style="193" customWidth="1"/>
    <col min="4" max="4" width="10.375" style="193" customWidth="1"/>
    <col min="5" max="16384" width="9" style="193"/>
  </cols>
  <sheetData>
    <row r="1" spans="1:17" s="192" customFormat="1" ht="42" customHeight="1">
      <c r="A1" s="209" t="s">
        <v>42</v>
      </c>
      <c r="B1" s="210"/>
      <c r="C1" s="210"/>
      <c r="D1" s="210"/>
      <c r="E1" s="211"/>
      <c r="F1" s="211"/>
    </row>
    <row r="2" spans="1:17" ht="18" customHeight="1">
      <c r="A2" s="194"/>
      <c r="B2" s="194"/>
      <c r="C2" s="194"/>
      <c r="D2" s="212" t="s">
        <v>81</v>
      </c>
    </row>
    <row r="3" spans="1:17" ht="29.25" customHeight="1">
      <c r="A3" s="213" t="s">
        <v>82</v>
      </c>
      <c r="B3" s="214" t="s">
        <v>918</v>
      </c>
      <c r="C3" s="215" t="s">
        <v>879</v>
      </c>
      <c r="D3" s="213" t="s">
        <v>283</v>
      </c>
    </row>
    <row r="4" spans="1:17" ht="29.25" customHeight="1">
      <c r="A4" s="216" t="s">
        <v>880</v>
      </c>
      <c r="B4" s="217">
        <v>0</v>
      </c>
      <c r="C4" s="218"/>
      <c r="D4" s="219"/>
    </row>
    <row r="5" spans="1:17" ht="29.25" customHeight="1">
      <c r="A5" s="216" t="s">
        <v>881</v>
      </c>
      <c r="B5" s="217"/>
      <c r="C5" s="218"/>
      <c r="D5" s="219"/>
    </row>
    <row r="6" spans="1:17" ht="29.25" customHeight="1">
      <c r="A6" s="216" t="s">
        <v>882</v>
      </c>
      <c r="B6" s="218"/>
      <c r="C6" s="218"/>
      <c r="D6" s="219"/>
    </row>
    <row r="7" spans="1:17" ht="29.25" customHeight="1">
      <c r="A7" s="216" t="s">
        <v>883</v>
      </c>
      <c r="B7" s="218">
        <v>21</v>
      </c>
      <c r="C7" s="218"/>
      <c r="D7" s="219"/>
    </row>
    <row r="8" spans="1:17" ht="29.25" customHeight="1">
      <c r="A8" s="216" t="s">
        <v>884</v>
      </c>
      <c r="B8" s="218">
        <v>1</v>
      </c>
      <c r="C8" s="218"/>
      <c r="D8" s="219"/>
    </row>
    <row r="9" spans="1:17" ht="29.25" customHeight="1">
      <c r="A9" s="216" t="s">
        <v>885</v>
      </c>
      <c r="B9" s="218">
        <f>SUM(B10:B12)</f>
        <v>180504</v>
      </c>
      <c r="C9" s="218">
        <f>SUM(C10:C12)</f>
        <v>180949</v>
      </c>
      <c r="D9" s="219">
        <f t="shared" ref="D9:D10" si="0">C9/B9*100-100</f>
        <v>0.24653193281034191</v>
      </c>
    </row>
    <row r="10" spans="1:17" ht="29.25" customHeight="1">
      <c r="A10" s="220" t="s">
        <v>886</v>
      </c>
      <c r="B10" s="218">
        <v>174738</v>
      </c>
      <c r="C10" s="218">
        <v>180949</v>
      </c>
      <c r="D10" s="219">
        <f t="shared" si="0"/>
        <v>3.5544643981274788</v>
      </c>
    </row>
    <row r="11" spans="1:17" ht="29.25" customHeight="1">
      <c r="A11" s="220" t="s">
        <v>887</v>
      </c>
      <c r="B11" s="218">
        <v>5758</v>
      </c>
      <c r="C11" s="218"/>
      <c r="D11" s="219"/>
    </row>
    <row r="12" spans="1:17" ht="29.25" customHeight="1">
      <c r="A12" s="220" t="s">
        <v>888</v>
      </c>
      <c r="B12" s="218">
        <v>8</v>
      </c>
      <c r="C12" s="218"/>
      <c r="D12" s="219"/>
    </row>
    <row r="13" spans="1:17" ht="29.25" customHeight="1">
      <c r="A13" s="216" t="s">
        <v>889</v>
      </c>
      <c r="B13" s="218"/>
      <c r="C13" s="218"/>
      <c r="D13" s="219"/>
    </row>
    <row r="14" spans="1:17" ht="29.25" customHeight="1">
      <c r="A14" s="216" t="s">
        <v>890</v>
      </c>
      <c r="B14" s="218">
        <v>11538</v>
      </c>
      <c r="C14" s="218">
        <v>7150</v>
      </c>
      <c r="D14" s="219">
        <f t="shared" ref="D14" si="1">C14/B14*100-100</f>
        <v>-38.030854567516037</v>
      </c>
    </row>
    <row r="15" spans="1:17" ht="29.25" customHeight="1">
      <c r="A15" s="216" t="s">
        <v>891</v>
      </c>
      <c r="B15" s="218"/>
      <c r="C15" s="218"/>
      <c r="D15" s="219"/>
      <c r="O15" s="226"/>
      <c r="P15" s="226"/>
      <c r="Q15" s="226"/>
    </row>
    <row r="16" spans="1:17" ht="29.25" customHeight="1">
      <c r="A16" s="221" t="s">
        <v>892</v>
      </c>
      <c r="B16" s="218">
        <v>4456</v>
      </c>
      <c r="C16" s="218">
        <v>3200</v>
      </c>
      <c r="D16" s="219">
        <f>C16/B16*100-100</f>
        <v>-28.186714542190302</v>
      </c>
    </row>
    <row r="17" spans="1:256" ht="29.25" customHeight="1">
      <c r="A17" s="216" t="s">
        <v>893</v>
      </c>
      <c r="B17" s="218"/>
      <c r="C17" s="218">
        <v>50000</v>
      </c>
      <c r="D17" s="219"/>
    </row>
    <row r="18" spans="1:256" ht="29.25" customHeight="1">
      <c r="A18" s="222" t="s">
        <v>919</v>
      </c>
      <c r="B18" s="218">
        <f>B4+B5+B6+B7+B8+B9+B13+B14+B15+B16+B17</f>
        <v>196520</v>
      </c>
      <c r="C18" s="218">
        <f>C4+C5+C6+C7+C8+C9+C13+C14+C15+C16+C17</f>
        <v>241299</v>
      </c>
      <c r="D18" s="219">
        <f>C18/B18*100-100</f>
        <v>22.785975982088331</v>
      </c>
    </row>
    <row r="19" spans="1:256" ht="29.25" customHeight="1">
      <c r="A19" s="35" t="s">
        <v>920</v>
      </c>
      <c r="B19" s="218"/>
      <c r="C19" s="218">
        <v>2700</v>
      </c>
      <c r="D19" s="219"/>
    </row>
    <row r="20" spans="1:256" ht="29.25" customHeight="1">
      <c r="A20" s="35" t="s">
        <v>921</v>
      </c>
      <c r="B20" s="218"/>
      <c r="C20" s="218">
        <v>13727</v>
      </c>
      <c r="D20" s="219"/>
    </row>
    <row r="21" spans="1:256" ht="29.25" customHeight="1">
      <c r="A21" s="35" t="s">
        <v>922</v>
      </c>
      <c r="B21" s="218"/>
      <c r="C21" s="218">
        <v>10000</v>
      </c>
      <c r="D21" s="219"/>
    </row>
    <row r="22" spans="1:256" ht="29.25" customHeight="1">
      <c r="A22" s="223"/>
      <c r="B22" s="224"/>
      <c r="C22" s="224"/>
      <c r="D22" s="219"/>
    </row>
    <row r="23" spans="1:256" ht="29.25" customHeight="1">
      <c r="A23" s="225" t="s">
        <v>130</v>
      </c>
      <c r="B23" s="218">
        <f>SUM(B18:B22)</f>
        <v>196520</v>
      </c>
      <c r="C23" s="218">
        <f>SUM(C18:C22)</f>
        <v>267726</v>
      </c>
      <c r="D23" s="219">
        <f>C23/B23*100-100</f>
        <v>36.233462243028697</v>
      </c>
    </row>
    <row r="24" spans="1:256" ht="24.95" customHeight="1">
      <c r="A24" s="551" t="s">
        <v>923</v>
      </c>
      <c r="B24" s="551"/>
      <c r="C24" s="551"/>
      <c r="D24" s="551"/>
      <c r="IV24"/>
    </row>
    <row r="25" spans="1:256" ht="33.950000000000003" customHeight="1">
      <c r="A25" s="548" t="s">
        <v>924</v>
      </c>
      <c r="B25" s="548"/>
      <c r="C25" s="548"/>
      <c r="D25" s="548"/>
    </row>
  </sheetData>
  <mergeCells count="2">
    <mergeCell ref="A24:D24"/>
    <mergeCell ref="A25:D25"/>
  </mergeCells>
  <phoneticPr fontId="2" type="noConversion"/>
  <printOptions horizontalCentered="1"/>
  <pageMargins left="0.79027777777777797" right="0.79027777777777797" top="0.97916666666666696" bottom="0.97916666666666696" header="0.2" footer="0.79027777777777797"/>
  <pageSetup paperSize="9" firstPageNumber="19" orientation="portrait" useFirstPageNumber="1"/>
  <headerFooter alignWithMargins="0">
    <oddFooter>&amp;C第 &amp;P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V34"/>
  <sheetViews>
    <sheetView topLeftCell="A5" workbookViewId="0">
      <selection activeCell="A4" sqref="A4:A26"/>
    </sheetView>
  </sheetViews>
  <sheetFormatPr defaultColWidth="9" defaultRowHeight="15.75"/>
  <cols>
    <col min="1" max="1" width="32.75" style="193" customWidth="1"/>
    <col min="2" max="2" width="18.25" style="193" customWidth="1"/>
    <col min="3" max="3" width="17.5" style="193" customWidth="1"/>
    <col min="4" max="4" width="13" style="193" customWidth="1"/>
    <col min="5" max="5" width="11.625" style="193" customWidth="1"/>
    <col min="6" max="16384" width="9" style="193"/>
  </cols>
  <sheetData>
    <row r="1" spans="1:256" s="192" customFormat="1" ht="39.75" customHeight="1">
      <c r="A1" s="542" t="s">
        <v>44</v>
      </c>
      <c r="B1" s="542"/>
      <c r="C1" s="542"/>
      <c r="D1" s="542"/>
    </row>
    <row r="2" spans="1:256" customFormat="1" ht="24" customHeight="1">
      <c r="A2" s="194"/>
      <c r="B2" s="195"/>
      <c r="C2" s="195"/>
      <c r="D2" s="195" t="s">
        <v>81</v>
      </c>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93"/>
      <c r="CM2" s="193"/>
      <c r="CN2" s="193"/>
      <c r="CO2" s="193"/>
      <c r="CP2" s="193"/>
      <c r="CQ2" s="193"/>
      <c r="CR2" s="193"/>
      <c r="CS2" s="193"/>
      <c r="CT2" s="193"/>
      <c r="CU2" s="193"/>
      <c r="CV2" s="193"/>
      <c r="CW2" s="193"/>
      <c r="CX2" s="193"/>
      <c r="CY2" s="193"/>
      <c r="CZ2" s="193"/>
      <c r="DA2" s="193"/>
      <c r="DB2" s="193"/>
      <c r="DC2" s="193"/>
      <c r="DD2" s="193"/>
      <c r="DE2" s="193"/>
      <c r="DF2" s="193"/>
      <c r="DG2" s="193"/>
      <c r="DH2" s="193"/>
      <c r="DI2" s="193"/>
      <c r="DJ2" s="193"/>
      <c r="DK2" s="193"/>
      <c r="DL2" s="193"/>
      <c r="DM2" s="193"/>
      <c r="DN2" s="193"/>
      <c r="DO2" s="193"/>
      <c r="DP2" s="193"/>
      <c r="DQ2" s="193"/>
      <c r="DR2" s="193"/>
      <c r="DS2" s="193"/>
      <c r="DT2" s="193"/>
      <c r="DU2" s="193"/>
      <c r="DV2" s="193"/>
      <c r="DW2" s="193"/>
      <c r="DX2" s="193"/>
      <c r="DY2" s="193"/>
      <c r="DZ2" s="193"/>
      <c r="EA2" s="193"/>
      <c r="EB2" s="193"/>
      <c r="EC2" s="193"/>
      <c r="ED2" s="193"/>
      <c r="EE2" s="193"/>
      <c r="EF2" s="193"/>
      <c r="EG2" s="193"/>
      <c r="EH2" s="193"/>
      <c r="EI2" s="193"/>
      <c r="EJ2" s="193"/>
      <c r="EK2" s="193"/>
      <c r="EL2" s="193"/>
      <c r="EM2" s="193"/>
      <c r="EN2" s="193"/>
      <c r="EO2" s="193"/>
      <c r="EP2" s="193"/>
      <c r="EQ2" s="193"/>
      <c r="ER2" s="193"/>
      <c r="ES2" s="193"/>
      <c r="ET2" s="193"/>
      <c r="EU2" s="193"/>
      <c r="EV2" s="193"/>
      <c r="EW2" s="193"/>
      <c r="EX2" s="193"/>
      <c r="EY2" s="193"/>
      <c r="EZ2" s="193"/>
      <c r="FA2" s="193"/>
      <c r="FB2" s="193"/>
      <c r="FC2" s="193"/>
      <c r="FD2" s="193"/>
      <c r="FE2" s="193"/>
      <c r="FF2" s="193"/>
      <c r="FG2" s="193"/>
      <c r="FH2" s="193"/>
      <c r="FI2" s="193"/>
      <c r="FJ2" s="193"/>
      <c r="FK2" s="193"/>
      <c r="FL2" s="193"/>
      <c r="FM2" s="193"/>
      <c r="FN2" s="193"/>
      <c r="FO2" s="193"/>
      <c r="FP2" s="193"/>
      <c r="FQ2" s="193"/>
      <c r="FR2" s="193"/>
      <c r="FS2" s="193"/>
      <c r="FT2" s="193"/>
      <c r="FU2" s="193"/>
      <c r="FV2" s="193"/>
      <c r="FW2" s="193"/>
      <c r="FX2" s="193"/>
      <c r="FY2" s="193"/>
      <c r="FZ2" s="193"/>
      <c r="GA2" s="193"/>
      <c r="GB2" s="193"/>
      <c r="GC2" s="193"/>
      <c r="GD2" s="193"/>
      <c r="GE2" s="193"/>
      <c r="GF2" s="193"/>
      <c r="GG2" s="193"/>
      <c r="GH2" s="193"/>
      <c r="GI2" s="193"/>
      <c r="GJ2" s="193"/>
      <c r="GK2" s="193"/>
      <c r="GL2" s="193"/>
      <c r="GM2" s="193"/>
      <c r="GN2" s="193"/>
      <c r="GO2" s="193"/>
      <c r="GP2" s="193"/>
      <c r="GQ2" s="193"/>
      <c r="GR2" s="193"/>
      <c r="GS2" s="193"/>
      <c r="GT2" s="193"/>
      <c r="GU2" s="193"/>
      <c r="GV2" s="193"/>
      <c r="GW2" s="193"/>
      <c r="GX2" s="193"/>
      <c r="GY2" s="193"/>
      <c r="GZ2" s="193"/>
      <c r="HA2" s="193"/>
      <c r="HB2" s="193"/>
      <c r="HC2" s="193"/>
      <c r="HD2" s="193"/>
      <c r="HE2" s="193"/>
      <c r="HF2" s="193"/>
      <c r="HG2" s="193"/>
      <c r="HH2" s="193"/>
      <c r="HI2" s="193"/>
      <c r="HJ2" s="193"/>
      <c r="HK2" s="193"/>
      <c r="HL2" s="193"/>
      <c r="HM2" s="193"/>
      <c r="HN2" s="193"/>
      <c r="HO2" s="193"/>
      <c r="HP2" s="193"/>
      <c r="HQ2" s="193"/>
      <c r="HR2" s="193"/>
      <c r="HS2" s="193"/>
      <c r="HT2" s="193"/>
      <c r="HU2" s="193"/>
      <c r="HV2" s="193"/>
      <c r="HW2" s="193"/>
      <c r="HX2" s="193"/>
      <c r="HY2" s="193"/>
      <c r="HZ2" s="193"/>
      <c r="IA2" s="193"/>
      <c r="IB2" s="193"/>
      <c r="IC2" s="193"/>
      <c r="ID2" s="193"/>
      <c r="IE2" s="193"/>
      <c r="IF2" s="193"/>
      <c r="IG2" s="193"/>
      <c r="IH2" s="193"/>
      <c r="II2" s="193"/>
      <c r="IJ2" s="193"/>
      <c r="IK2" s="193"/>
      <c r="IL2" s="193"/>
      <c r="IM2" s="193"/>
      <c r="IN2" s="193"/>
      <c r="IO2" s="193"/>
      <c r="IP2" s="193"/>
      <c r="IQ2" s="193"/>
      <c r="IR2" s="193"/>
      <c r="IS2" s="193"/>
      <c r="IT2" s="193"/>
      <c r="IU2" s="193"/>
      <c r="IV2" s="193"/>
    </row>
    <row r="3" spans="1:256" customFormat="1" ht="33" customHeight="1">
      <c r="A3" s="196" t="s">
        <v>280</v>
      </c>
      <c r="B3" s="196" t="s">
        <v>281</v>
      </c>
      <c r="C3" s="197" t="s">
        <v>879</v>
      </c>
      <c r="D3" s="196" t="s">
        <v>283</v>
      </c>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c r="CY3" s="193"/>
      <c r="CZ3" s="193"/>
      <c r="DA3" s="193"/>
      <c r="DB3" s="193"/>
      <c r="DC3" s="193"/>
      <c r="DD3" s="193"/>
      <c r="DE3" s="193"/>
      <c r="DF3" s="193"/>
      <c r="DG3" s="193"/>
      <c r="DH3" s="193"/>
      <c r="DI3" s="193"/>
      <c r="DJ3" s="193"/>
      <c r="DK3" s="193"/>
      <c r="DL3" s="193"/>
      <c r="DM3" s="193"/>
      <c r="DN3" s="193"/>
      <c r="DO3" s="193"/>
      <c r="DP3" s="193"/>
      <c r="DQ3" s="193"/>
      <c r="DR3" s="193"/>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93"/>
      <c r="ER3" s="193"/>
      <c r="ES3" s="193"/>
      <c r="ET3" s="193"/>
      <c r="EU3" s="193"/>
      <c r="EV3" s="193"/>
      <c r="EW3" s="193"/>
      <c r="EX3" s="193"/>
      <c r="EY3" s="193"/>
      <c r="EZ3" s="193"/>
      <c r="FA3" s="193"/>
      <c r="FB3" s="193"/>
      <c r="FC3" s="193"/>
      <c r="FD3" s="193"/>
      <c r="FE3" s="193"/>
      <c r="FF3" s="193"/>
      <c r="FG3" s="193"/>
      <c r="FH3" s="193"/>
      <c r="FI3" s="193"/>
      <c r="FJ3" s="193"/>
      <c r="FK3" s="193"/>
      <c r="FL3" s="193"/>
      <c r="FM3" s="193"/>
      <c r="FN3" s="193"/>
      <c r="FO3" s="193"/>
      <c r="FP3" s="193"/>
      <c r="FQ3" s="193"/>
      <c r="FR3" s="193"/>
      <c r="FS3" s="193"/>
      <c r="FT3" s="193"/>
      <c r="FU3" s="193"/>
      <c r="FV3" s="193"/>
      <c r="FW3" s="193"/>
      <c r="FX3" s="193"/>
      <c r="FY3" s="193"/>
      <c r="FZ3" s="193"/>
      <c r="GA3" s="193"/>
      <c r="GB3" s="193"/>
      <c r="GC3" s="193"/>
      <c r="GD3" s="193"/>
      <c r="GE3" s="193"/>
      <c r="GF3" s="193"/>
      <c r="GG3" s="193"/>
      <c r="GH3" s="193"/>
      <c r="GI3" s="193"/>
      <c r="GJ3" s="193"/>
      <c r="GK3" s="193"/>
      <c r="GL3" s="193"/>
      <c r="GM3" s="193"/>
      <c r="GN3" s="193"/>
      <c r="GO3" s="193"/>
      <c r="GP3" s="193"/>
      <c r="GQ3" s="193"/>
      <c r="GR3" s="193"/>
      <c r="GS3" s="193"/>
      <c r="GT3" s="193"/>
      <c r="GU3" s="193"/>
      <c r="GV3" s="193"/>
      <c r="GW3" s="193"/>
      <c r="GX3" s="193"/>
      <c r="GY3" s="193"/>
      <c r="GZ3" s="193"/>
      <c r="HA3" s="193"/>
      <c r="HB3" s="193"/>
      <c r="HC3" s="193"/>
      <c r="HD3" s="193"/>
      <c r="HE3" s="193"/>
      <c r="HF3" s="193"/>
      <c r="HG3" s="193"/>
      <c r="HH3" s="193"/>
      <c r="HI3" s="193"/>
      <c r="HJ3" s="193"/>
      <c r="HK3" s="193"/>
      <c r="HL3" s="193"/>
      <c r="HM3" s="193"/>
      <c r="HN3" s="193"/>
      <c r="HO3" s="193"/>
      <c r="HP3" s="193"/>
      <c r="HQ3" s="193"/>
      <c r="HR3" s="193"/>
      <c r="HS3" s="193"/>
      <c r="HT3" s="193"/>
      <c r="HU3" s="193"/>
      <c r="HV3" s="193"/>
      <c r="HW3" s="193"/>
      <c r="HX3" s="193"/>
      <c r="HY3" s="193"/>
      <c r="HZ3" s="193"/>
      <c r="IA3" s="193"/>
      <c r="IB3" s="193"/>
      <c r="IC3" s="193"/>
      <c r="ID3" s="193"/>
      <c r="IE3" s="193"/>
      <c r="IF3" s="193"/>
      <c r="IG3" s="193"/>
      <c r="IH3" s="193"/>
      <c r="II3" s="193"/>
      <c r="IJ3" s="193"/>
      <c r="IK3" s="193"/>
      <c r="IL3" s="193"/>
      <c r="IM3" s="193"/>
      <c r="IN3" s="193"/>
      <c r="IO3" s="193"/>
      <c r="IP3" s="193"/>
      <c r="IQ3" s="193"/>
      <c r="IR3" s="193"/>
      <c r="IS3" s="193"/>
      <c r="IT3" s="193"/>
      <c r="IU3" s="193"/>
      <c r="IV3" s="193"/>
    </row>
    <row r="4" spans="1:256" customFormat="1" ht="21" customHeight="1">
      <c r="A4" s="29" t="s">
        <v>925</v>
      </c>
      <c r="B4" s="23">
        <f>+B5+B14+B16+B17+B19</f>
        <v>189837</v>
      </c>
      <c r="C4" s="23">
        <f>+C5+C14+C16+C17+C19</f>
        <v>191299</v>
      </c>
      <c r="D4" s="198">
        <f t="shared" ref="D4:D7" si="0">+(C4-B4)/B4*100</f>
        <v>0.77013437844045152</v>
      </c>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C4" s="193"/>
      <c r="DD4" s="193"/>
      <c r="DE4" s="193"/>
      <c r="DF4" s="193"/>
      <c r="DG4" s="193"/>
      <c r="DH4" s="193"/>
      <c r="DI4" s="193"/>
      <c r="DJ4" s="193"/>
      <c r="DK4" s="193"/>
      <c r="DL4" s="193"/>
      <c r="DM4" s="193"/>
      <c r="DN4" s="193"/>
      <c r="DO4" s="193"/>
      <c r="DP4" s="193"/>
      <c r="DQ4" s="193"/>
      <c r="DR4" s="193"/>
      <c r="DS4" s="193"/>
      <c r="DT4" s="193"/>
      <c r="DU4" s="193"/>
      <c r="DV4" s="193"/>
      <c r="DW4" s="193"/>
      <c r="DX4" s="193"/>
      <c r="DY4" s="193"/>
      <c r="DZ4" s="193"/>
      <c r="EA4" s="193"/>
      <c r="EB4" s="193"/>
      <c r="EC4" s="193"/>
      <c r="ED4" s="193"/>
      <c r="EE4" s="193"/>
      <c r="EF4" s="193"/>
      <c r="EG4" s="193"/>
      <c r="EH4" s="193"/>
      <c r="EI4" s="193"/>
      <c r="EJ4" s="193"/>
      <c r="EK4" s="193"/>
      <c r="EL4" s="193"/>
      <c r="EM4" s="193"/>
      <c r="EN4" s="193"/>
      <c r="EO4" s="193"/>
      <c r="EP4" s="193"/>
      <c r="EQ4" s="193"/>
      <c r="ER4" s="193"/>
      <c r="ES4" s="193"/>
      <c r="ET4" s="193"/>
      <c r="EU4" s="193"/>
      <c r="EV4" s="193"/>
      <c r="EW4" s="193"/>
      <c r="EX4" s="193"/>
      <c r="EY4" s="193"/>
      <c r="EZ4" s="193"/>
      <c r="FA4" s="193"/>
      <c r="FB4" s="193"/>
      <c r="FC4" s="193"/>
      <c r="FD4" s="193"/>
      <c r="FE4" s="193"/>
      <c r="FF4" s="193"/>
      <c r="FG4" s="193"/>
      <c r="FH4" s="193"/>
      <c r="FI4" s="193"/>
      <c r="FJ4" s="193"/>
      <c r="FK4" s="193"/>
      <c r="FL4" s="193"/>
      <c r="FM4" s="193"/>
      <c r="FN4" s="193"/>
      <c r="FO4" s="193"/>
      <c r="FP4" s="193"/>
      <c r="FQ4" s="193"/>
      <c r="FR4" s="193"/>
      <c r="FS4" s="193"/>
      <c r="FT4" s="193"/>
      <c r="FU4" s="193"/>
      <c r="FV4" s="193"/>
      <c r="FW4" s="193"/>
      <c r="FX4" s="193"/>
      <c r="FY4" s="193"/>
      <c r="FZ4" s="193"/>
      <c r="GA4" s="193"/>
      <c r="GB4" s="193"/>
      <c r="GC4" s="193"/>
      <c r="GD4" s="193"/>
      <c r="GE4" s="193"/>
      <c r="GF4" s="193"/>
      <c r="GG4" s="193"/>
      <c r="GH4" s="193"/>
      <c r="GI4" s="193"/>
      <c r="GJ4" s="193"/>
      <c r="GK4" s="193"/>
      <c r="GL4" s="193"/>
      <c r="GM4" s="193"/>
      <c r="GN4" s="193"/>
      <c r="GO4" s="193"/>
      <c r="GP4" s="193"/>
      <c r="GQ4" s="193"/>
      <c r="GR4" s="193"/>
      <c r="GS4" s="193"/>
      <c r="GT4" s="193"/>
      <c r="GU4" s="193"/>
      <c r="GV4" s="193"/>
      <c r="GW4" s="193"/>
      <c r="GX4" s="193"/>
      <c r="GY4" s="193"/>
      <c r="GZ4" s="193"/>
      <c r="HA4" s="193"/>
      <c r="HB4" s="193"/>
      <c r="HC4" s="193"/>
      <c r="HD4" s="193"/>
      <c r="HE4" s="193"/>
      <c r="HF4" s="193"/>
      <c r="HG4" s="193"/>
      <c r="HH4" s="193"/>
      <c r="HI4" s="193"/>
      <c r="HJ4" s="193"/>
      <c r="HK4" s="193"/>
      <c r="HL4" s="193"/>
      <c r="HM4" s="193"/>
      <c r="HN4" s="193"/>
      <c r="HO4" s="193"/>
      <c r="HP4" s="193"/>
      <c r="HQ4" s="193"/>
      <c r="HR4" s="193"/>
      <c r="HS4" s="193"/>
      <c r="HT4" s="193"/>
      <c r="HU4" s="193"/>
      <c r="HV4" s="193"/>
      <c r="HW4" s="193"/>
      <c r="HX4" s="193"/>
      <c r="HY4" s="193"/>
      <c r="HZ4" s="193"/>
      <c r="IA4" s="193"/>
      <c r="IB4" s="193"/>
      <c r="IC4" s="193"/>
      <c r="ID4" s="193"/>
      <c r="IE4" s="193"/>
      <c r="IF4" s="193"/>
      <c r="IG4" s="193"/>
      <c r="IH4" s="193"/>
      <c r="II4" s="193"/>
      <c r="IJ4" s="193"/>
      <c r="IK4" s="193"/>
      <c r="IL4" s="193"/>
      <c r="IM4" s="193"/>
      <c r="IN4" s="193"/>
      <c r="IO4" s="193"/>
      <c r="IP4" s="193"/>
      <c r="IQ4" s="193"/>
      <c r="IR4" s="193"/>
      <c r="IS4" s="193"/>
      <c r="IT4" s="193"/>
      <c r="IU4" s="193"/>
      <c r="IV4" s="193"/>
    </row>
    <row r="5" spans="1:256" customFormat="1" ht="21" customHeight="1">
      <c r="A5" s="31" t="s">
        <v>900</v>
      </c>
      <c r="B5" s="23">
        <f>SUM(B6:B13)</f>
        <v>180381</v>
      </c>
      <c r="C5" s="23">
        <f>SUM(C6:C13)</f>
        <v>180949</v>
      </c>
      <c r="D5" s="198">
        <f t="shared" si="0"/>
        <v>0.31488904041999993</v>
      </c>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c r="CY5" s="193"/>
      <c r="CZ5" s="193"/>
      <c r="DA5" s="193"/>
      <c r="DB5" s="193"/>
      <c r="DC5" s="193"/>
      <c r="DD5" s="193"/>
      <c r="DE5" s="193"/>
      <c r="DF5" s="193"/>
      <c r="DG5" s="193"/>
      <c r="DH5" s="193"/>
      <c r="DI5" s="193"/>
      <c r="DJ5" s="193"/>
      <c r="DK5" s="193"/>
      <c r="DL5" s="193"/>
      <c r="DM5" s="193"/>
      <c r="DN5" s="193"/>
      <c r="DO5" s="193"/>
      <c r="DP5" s="193"/>
      <c r="DQ5" s="193"/>
      <c r="DR5" s="193"/>
      <c r="DS5" s="193"/>
      <c r="DT5" s="193"/>
      <c r="DU5" s="193"/>
      <c r="DV5" s="193"/>
      <c r="DW5" s="193"/>
      <c r="DX5" s="193"/>
      <c r="DY5" s="193"/>
      <c r="DZ5" s="193"/>
      <c r="EA5" s="193"/>
      <c r="EB5" s="193"/>
      <c r="EC5" s="193"/>
      <c r="ED5" s="193"/>
      <c r="EE5" s="193"/>
      <c r="EF5" s="193"/>
      <c r="EG5" s="193"/>
      <c r="EH5" s="193"/>
      <c r="EI5" s="193"/>
      <c r="EJ5" s="193"/>
      <c r="EK5" s="193"/>
      <c r="EL5" s="193"/>
      <c r="EM5" s="193"/>
      <c r="EN5" s="193"/>
      <c r="EO5" s="193"/>
      <c r="EP5" s="193"/>
      <c r="EQ5" s="193"/>
      <c r="ER5" s="193"/>
      <c r="ES5" s="193"/>
      <c r="ET5" s="193"/>
      <c r="EU5" s="193"/>
      <c r="EV5" s="193"/>
      <c r="EW5" s="193"/>
      <c r="EX5" s="193"/>
      <c r="EY5" s="193"/>
      <c r="EZ5" s="193"/>
      <c r="FA5" s="193"/>
      <c r="FB5" s="193"/>
      <c r="FC5" s="193"/>
      <c r="FD5" s="193"/>
      <c r="FE5" s="193"/>
      <c r="FF5" s="193"/>
      <c r="FG5" s="193"/>
      <c r="FH5" s="193"/>
      <c r="FI5" s="193"/>
      <c r="FJ5" s="193"/>
      <c r="FK5" s="193"/>
      <c r="FL5" s="193"/>
      <c r="FM5" s="193"/>
      <c r="FN5" s="193"/>
      <c r="FO5" s="193"/>
      <c r="FP5" s="193"/>
      <c r="FQ5" s="193"/>
      <c r="FR5" s="193"/>
      <c r="FS5" s="193"/>
      <c r="FT5" s="193"/>
      <c r="FU5" s="193"/>
      <c r="FV5" s="193"/>
      <c r="FW5" s="193"/>
      <c r="FX5" s="193"/>
      <c r="FY5" s="193"/>
      <c r="FZ5" s="193"/>
      <c r="GA5" s="193"/>
      <c r="GB5" s="193"/>
      <c r="GC5" s="193"/>
      <c r="GD5" s="193"/>
      <c r="GE5" s="193"/>
      <c r="GF5" s="193"/>
      <c r="GG5" s="193"/>
      <c r="GH5" s="193"/>
      <c r="GI5" s="193"/>
      <c r="GJ5" s="193"/>
      <c r="GK5" s="193"/>
      <c r="GL5" s="193"/>
      <c r="GM5" s="193"/>
      <c r="GN5" s="193"/>
      <c r="GO5" s="193"/>
      <c r="GP5" s="193"/>
      <c r="GQ5" s="193"/>
      <c r="GR5" s="193"/>
      <c r="GS5" s="193"/>
      <c r="GT5" s="193"/>
      <c r="GU5" s="193"/>
      <c r="GV5" s="193"/>
      <c r="GW5" s="193"/>
      <c r="GX5" s="193"/>
      <c r="GY5" s="193"/>
      <c r="GZ5" s="193"/>
      <c r="HA5" s="193"/>
      <c r="HB5" s="193"/>
      <c r="HC5" s="193"/>
      <c r="HD5" s="193"/>
      <c r="HE5" s="193"/>
      <c r="HF5" s="193"/>
      <c r="HG5" s="193"/>
      <c r="HH5" s="193"/>
      <c r="HI5" s="193"/>
      <c r="HJ5" s="193"/>
      <c r="HK5" s="193"/>
      <c r="HL5" s="193"/>
      <c r="HM5" s="193"/>
      <c r="HN5" s="193"/>
      <c r="HO5" s="193"/>
      <c r="HP5" s="193"/>
      <c r="HQ5" s="193"/>
      <c r="HR5" s="193"/>
      <c r="HS5" s="193"/>
      <c r="HT5" s="193"/>
      <c r="HU5" s="193"/>
      <c r="HV5" s="193"/>
      <c r="HW5" s="193"/>
      <c r="HX5" s="193"/>
      <c r="HY5" s="193"/>
      <c r="HZ5" s="193"/>
      <c r="IA5" s="193"/>
      <c r="IB5" s="193"/>
      <c r="IC5" s="193"/>
      <c r="ID5" s="193"/>
      <c r="IE5" s="193"/>
      <c r="IF5" s="193"/>
      <c r="IG5" s="193"/>
      <c r="IH5" s="193"/>
      <c r="II5" s="193"/>
      <c r="IJ5" s="193"/>
      <c r="IK5" s="193"/>
      <c r="IL5" s="193"/>
      <c r="IM5" s="193"/>
      <c r="IN5" s="193"/>
      <c r="IO5" s="193"/>
      <c r="IP5" s="193"/>
      <c r="IQ5" s="193"/>
      <c r="IR5" s="193"/>
      <c r="IS5" s="193"/>
      <c r="IT5" s="193"/>
      <c r="IU5" s="193"/>
      <c r="IV5" s="193"/>
    </row>
    <row r="6" spans="1:256" customFormat="1" ht="21" customHeight="1">
      <c r="A6" s="32" t="s">
        <v>926</v>
      </c>
      <c r="B6" s="199">
        <f>147050+3001-956+2020-334</f>
        <v>150781</v>
      </c>
      <c r="C6" s="23">
        <v>41727</v>
      </c>
      <c r="D6" s="198">
        <f t="shared" si="0"/>
        <v>-72.326088830820851</v>
      </c>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E6" s="193"/>
      <c r="BF6" s="193"/>
      <c r="BG6" s="193"/>
      <c r="BH6" s="193"/>
      <c r="BI6" s="193"/>
      <c r="BJ6" s="193"/>
      <c r="BK6" s="193"/>
      <c r="BL6" s="193"/>
      <c r="BM6" s="193"/>
      <c r="BN6" s="193"/>
      <c r="BO6" s="193"/>
      <c r="BP6" s="193"/>
      <c r="BQ6" s="193"/>
      <c r="BR6" s="193"/>
      <c r="BS6" s="193"/>
      <c r="BT6" s="193"/>
      <c r="BU6" s="193"/>
      <c r="BV6" s="193"/>
      <c r="BW6" s="193"/>
      <c r="BX6" s="193"/>
      <c r="BY6" s="193"/>
      <c r="BZ6" s="193"/>
      <c r="CA6" s="193"/>
      <c r="CB6" s="193"/>
      <c r="CC6" s="193"/>
      <c r="CD6" s="193"/>
      <c r="CE6" s="193"/>
      <c r="CF6" s="193"/>
      <c r="CG6" s="193"/>
      <c r="CH6" s="193"/>
      <c r="CI6" s="193"/>
      <c r="CJ6" s="193"/>
      <c r="CK6" s="193"/>
      <c r="CL6" s="193"/>
      <c r="CM6" s="193"/>
      <c r="CN6" s="193"/>
      <c r="CO6" s="193"/>
      <c r="CP6" s="193"/>
      <c r="CQ6" s="193"/>
      <c r="CR6" s="193"/>
      <c r="CS6" s="193"/>
      <c r="CT6" s="193"/>
      <c r="CU6" s="193"/>
      <c r="CV6" s="193"/>
      <c r="CW6" s="193"/>
      <c r="CX6" s="193"/>
      <c r="CY6" s="193"/>
      <c r="CZ6" s="193"/>
      <c r="DA6" s="193"/>
      <c r="DB6" s="193"/>
      <c r="DC6" s="193"/>
      <c r="DD6" s="193"/>
      <c r="DE6" s="193"/>
      <c r="DF6" s="193"/>
      <c r="DG6" s="193"/>
      <c r="DH6" s="193"/>
      <c r="DI6" s="193"/>
      <c r="DJ6" s="193"/>
      <c r="DK6" s="193"/>
      <c r="DL6" s="193"/>
      <c r="DM6" s="193"/>
      <c r="DN6" s="193"/>
      <c r="DO6" s="193"/>
      <c r="DP6" s="193"/>
      <c r="DQ6" s="193"/>
      <c r="DR6" s="193"/>
      <c r="DS6" s="193"/>
      <c r="DT6" s="193"/>
      <c r="DU6" s="193"/>
      <c r="DV6" s="193"/>
      <c r="DW6" s="193"/>
      <c r="DX6" s="193"/>
      <c r="DY6" s="193"/>
      <c r="DZ6" s="193"/>
      <c r="EA6" s="193"/>
      <c r="EB6" s="193"/>
      <c r="EC6" s="193"/>
      <c r="ED6" s="193"/>
      <c r="EE6" s="193"/>
      <c r="EF6" s="193"/>
      <c r="EG6" s="193"/>
      <c r="EH6" s="193"/>
      <c r="EI6" s="193"/>
      <c r="EJ6" s="193"/>
      <c r="EK6" s="193"/>
      <c r="EL6" s="193"/>
      <c r="EM6" s="193"/>
      <c r="EN6" s="193"/>
      <c r="EO6" s="193"/>
      <c r="EP6" s="193"/>
      <c r="EQ6" s="193"/>
      <c r="ER6" s="193"/>
      <c r="ES6" s="193"/>
      <c r="ET6" s="193"/>
      <c r="EU6" s="193"/>
      <c r="EV6" s="193"/>
      <c r="EW6" s="193"/>
      <c r="EX6" s="193"/>
      <c r="EY6" s="193"/>
      <c r="EZ6" s="193"/>
      <c r="FA6" s="193"/>
      <c r="FB6" s="193"/>
      <c r="FC6" s="193"/>
      <c r="FD6" s="193"/>
      <c r="FE6" s="193"/>
      <c r="FF6" s="193"/>
      <c r="FG6" s="193"/>
      <c r="FH6" s="193"/>
      <c r="FI6" s="193"/>
      <c r="FJ6" s="193"/>
      <c r="FK6" s="193"/>
      <c r="FL6" s="193"/>
      <c r="FM6" s="193"/>
      <c r="FN6" s="193"/>
      <c r="FO6" s="193"/>
      <c r="FP6" s="193"/>
      <c r="FQ6" s="193"/>
      <c r="FR6" s="193"/>
      <c r="FS6" s="193"/>
      <c r="FT6" s="193"/>
      <c r="FU6" s="193"/>
      <c r="FV6" s="193"/>
      <c r="FW6" s="193"/>
      <c r="FX6" s="193"/>
      <c r="FY6" s="193"/>
      <c r="FZ6" s="193"/>
      <c r="GA6" s="193"/>
      <c r="GB6" s="193"/>
      <c r="GC6" s="193"/>
      <c r="GD6" s="193"/>
      <c r="GE6" s="193"/>
      <c r="GF6" s="193"/>
      <c r="GG6" s="193"/>
      <c r="GH6" s="193"/>
      <c r="GI6" s="193"/>
      <c r="GJ6" s="193"/>
      <c r="GK6" s="193"/>
      <c r="GL6" s="193"/>
      <c r="GM6" s="193"/>
      <c r="GN6" s="193"/>
      <c r="GO6" s="193"/>
      <c r="GP6" s="193"/>
      <c r="GQ6" s="193"/>
      <c r="GR6" s="193"/>
      <c r="GS6" s="193"/>
      <c r="GT6" s="193"/>
      <c r="GU6" s="193"/>
      <c r="GV6" s="193"/>
      <c r="GW6" s="193"/>
      <c r="GX6" s="193"/>
      <c r="GY6" s="193"/>
      <c r="GZ6" s="193"/>
      <c r="HA6" s="193"/>
      <c r="HB6" s="193"/>
      <c r="HC6" s="193"/>
      <c r="HD6" s="193"/>
      <c r="HE6" s="193"/>
      <c r="HF6" s="193"/>
      <c r="HG6" s="193"/>
      <c r="HH6" s="193"/>
      <c r="HI6" s="193"/>
      <c r="HJ6" s="193"/>
      <c r="HK6" s="193"/>
      <c r="HL6" s="193"/>
      <c r="HM6" s="193"/>
      <c r="HN6" s="193"/>
      <c r="HO6" s="193"/>
      <c r="HP6" s="193"/>
      <c r="HQ6" s="193"/>
      <c r="HR6" s="193"/>
      <c r="HS6" s="193"/>
      <c r="HT6" s="193"/>
      <c r="HU6" s="193"/>
      <c r="HV6" s="193"/>
      <c r="HW6" s="193"/>
      <c r="HX6" s="193"/>
      <c r="HY6" s="193"/>
      <c r="HZ6" s="193"/>
      <c r="IA6" s="193"/>
      <c r="IB6" s="193"/>
      <c r="IC6" s="193"/>
      <c r="ID6" s="193"/>
      <c r="IE6" s="193"/>
      <c r="IF6" s="193"/>
      <c r="IG6" s="193"/>
      <c r="IH6" s="193"/>
      <c r="II6" s="193"/>
      <c r="IJ6" s="193"/>
      <c r="IK6" s="193"/>
      <c r="IL6" s="193"/>
      <c r="IM6" s="193"/>
      <c r="IN6" s="193"/>
      <c r="IO6" s="193"/>
      <c r="IP6" s="193"/>
      <c r="IQ6" s="193"/>
      <c r="IR6" s="193"/>
      <c r="IS6" s="193"/>
      <c r="IT6" s="193"/>
      <c r="IU6" s="193"/>
      <c r="IV6" s="193"/>
    </row>
    <row r="7" spans="1:256" customFormat="1" ht="21" customHeight="1">
      <c r="A7" s="32" t="s">
        <v>927</v>
      </c>
      <c r="B7" s="199">
        <v>29216</v>
      </c>
      <c r="C7" s="23">
        <v>25244</v>
      </c>
      <c r="D7" s="198">
        <f t="shared" si="0"/>
        <v>-13.595290251916758</v>
      </c>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3"/>
      <c r="BO7" s="193"/>
      <c r="BP7" s="193"/>
      <c r="BQ7" s="193"/>
      <c r="BR7" s="193"/>
      <c r="BS7" s="193"/>
      <c r="BT7" s="193"/>
      <c r="BU7" s="193"/>
      <c r="BV7" s="193"/>
      <c r="BW7" s="193"/>
      <c r="BX7" s="193"/>
      <c r="BY7" s="193"/>
      <c r="BZ7" s="193"/>
      <c r="CA7" s="193"/>
      <c r="CB7" s="193"/>
      <c r="CC7" s="193"/>
      <c r="CD7" s="193"/>
      <c r="CE7" s="193"/>
      <c r="CF7" s="193"/>
      <c r="CG7" s="193"/>
      <c r="CH7" s="193"/>
      <c r="CI7" s="193"/>
      <c r="CJ7" s="193"/>
      <c r="CK7" s="193"/>
      <c r="CL7" s="193"/>
      <c r="CM7" s="193"/>
      <c r="CN7" s="193"/>
      <c r="CO7" s="193"/>
      <c r="CP7" s="193"/>
      <c r="CQ7" s="193"/>
      <c r="CR7" s="193"/>
      <c r="CS7" s="193"/>
      <c r="CT7" s="193"/>
      <c r="CU7" s="193"/>
      <c r="CV7" s="193"/>
      <c r="CW7" s="193"/>
      <c r="CX7" s="193"/>
      <c r="CY7" s="193"/>
      <c r="CZ7" s="193"/>
      <c r="DA7" s="193"/>
      <c r="DB7" s="193"/>
      <c r="DC7" s="193"/>
      <c r="DD7" s="193"/>
      <c r="DE7" s="193"/>
      <c r="DF7" s="193"/>
      <c r="DG7" s="193"/>
      <c r="DH7" s="193"/>
      <c r="DI7" s="193"/>
      <c r="DJ7" s="193"/>
      <c r="DK7" s="193"/>
      <c r="DL7" s="193"/>
      <c r="DM7" s="193"/>
      <c r="DN7" s="193"/>
      <c r="DO7" s="193"/>
      <c r="DP7" s="193"/>
      <c r="DQ7" s="193"/>
      <c r="DR7" s="193"/>
      <c r="DS7" s="193"/>
      <c r="DT7" s="193"/>
      <c r="DU7" s="193"/>
      <c r="DV7" s="193"/>
      <c r="DW7" s="193"/>
      <c r="DX7" s="193"/>
      <c r="DY7" s="193"/>
      <c r="DZ7" s="193"/>
      <c r="EA7" s="193"/>
      <c r="EB7" s="193"/>
      <c r="EC7" s="193"/>
      <c r="ED7" s="193"/>
      <c r="EE7" s="193"/>
      <c r="EF7" s="193"/>
      <c r="EG7" s="193"/>
      <c r="EH7" s="193"/>
      <c r="EI7" s="193"/>
      <c r="EJ7" s="193"/>
      <c r="EK7" s="193"/>
      <c r="EL7" s="193"/>
      <c r="EM7" s="193"/>
      <c r="EN7" s="193"/>
      <c r="EO7" s="193"/>
      <c r="EP7" s="193"/>
      <c r="EQ7" s="193"/>
      <c r="ER7" s="193"/>
      <c r="ES7" s="193"/>
      <c r="ET7" s="193"/>
      <c r="EU7" s="193"/>
      <c r="EV7" s="193"/>
      <c r="EW7" s="193"/>
      <c r="EX7" s="193"/>
      <c r="EY7" s="193"/>
      <c r="EZ7" s="193"/>
      <c r="FA7" s="193"/>
      <c r="FB7" s="193"/>
      <c r="FC7" s="193"/>
      <c r="FD7" s="193"/>
      <c r="FE7" s="193"/>
      <c r="FF7" s="193"/>
      <c r="FG7" s="193"/>
      <c r="FH7" s="193"/>
      <c r="FI7" s="193"/>
      <c r="FJ7" s="193"/>
      <c r="FK7" s="193"/>
      <c r="FL7" s="193"/>
      <c r="FM7" s="193"/>
      <c r="FN7" s="193"/>
      <c r="FO7" s="193"/>
      <c r="FP7" s="193"/>
      <c r="FQ7" s="193"/>
      <c r="FR7" s="193"/>
      <c r="FS7" s="193"/>
      <c r="FT7" s="193"/>
      <c r="FU7" s="193"/>
      <c r="FV7" s="193"/>
      <c r="FW7" s="193"/>
      <c r="FX7" s="193"/>
      <c r="FY7" s="193"/>
      <c r="FZ7" s="193"/>
      <c r="GA7" s="193"/>
      <c r="GB7" s="193"/>
      <c r="GC7" s="193"/>
      <c r="GD7" s="193"/>
      <c r="GE7" s="193"/>
      <c r="GF7" s="193"/>
      <c r="GG7" s="193"/>
      <c r="GH7" s="193"/>
      <c r="GI7" s="193"/>
      <c r="GJ7" s="193"/>
      <c r="GK7" s="193"/>
      <c r="GL7" s="193"/>
      <c r="GM7" s="193"/>
      <c r="GN7" s="193"/>
      <c r="GO7" s="193"/>
      <c r="GP7" s="193"/>
      <c r="GQ7" s="193"/>
      <c r="GR7" s="193"/>
      <c r="GS7" s="193"/>
      <c r="GT7" s="193"/>
      <c r="GU7" s="193"/>
      <c r="GV7" s="193"/>
      <c r="GW7" s="193"/>
      <c r="GX7" s="193"/>
      <c r="GY7" s="193"/>
      <c r="GZ7" s="193"/>
      <c r="HA7" s="193"/>
      <c r="HB7" s="193"/>
      <c r="HC7" s="193"/>
      <c r="HD7" s="193"/>
      <c r="HE7" s="193"/>
      <c r="HF7" s="193"/>
      <c r="HG7" s="193"/>
      <c r="HH7" s="193"/>
      <c r="HI7" s="193"/>
      <c r="HJ7" s="193"/>
      <c r="HK7" s="193"/>
      <c r="HL7" s="193"/>
      <c r="HM7" s="193"/>
      <c r="HN7" s="193"/>
      <c r="HO7" s="193"/>
      <c r="HP7" s="193"/>
      <c r="HQ7" s="193"/>
      <c r="HR7" s="193"/>
      <c r="HS7" s="193"/>
      <c r="HT7" s="193"/>
      <c r="HU7" s="193"/>
      <c r="HV7" s="193"/>
      <c r="HW7" s="193"/>
      <c r="HX7" s="193"/>
      <c r="HY7" s="193"/>
      <c r="HZ7" s="193"/>
      <c r="IA7" s="193"/>
      <c r="IB7" s="193"/>
      <c r="IC7" s="193"/>
      <c r="ID7" s="193"/>
      <c r="IE7" s="193"/>
      <c r="IF7" s="193"/>
      <c r="IG7" s="193"/>
      <c r="IH7" s="193"/>
      <c r="II7" s="193"/>
      <c r="IJ7" s="193"/>
      <c r="IK7" s="193"/>
      <c r="IL7" s="193"/>
      <c r="IM7" s="193"/>
      <c r="IN7" s="193"/>
      <c r="IO7" s="193"/>
      <c r="IP7" s="193"/>
      <c r="IQ7" s="193"/>
      <c r="IR7" s="193"/>
      <c r="IS7" s="193"/>
      <c r="IT7" s="193"/>
      <c r="IU7" s="193"/>
      <c r="IV7" s="193"/>
    </row>
    <row r="8" spans="1:256" customFormat="1" ht="21" customHeight="1">
      <c r="A8" s="32" t="s">
        <v>928</v>
      </c>
      <c r="B8" s="199"/>
      <c r="C8" s="23"/>
      <c r="D8" s="198"/>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3"/>
      <c r="DD8" s="193"/>
      <c r="DE8" s="193"/>
      <c r="DF8" s="193"/>
      <c r="DG8" s="193"/>
      <c r="DH8" s="193"/>
      <c r="DI8" s="193"/>
      <c r="DJ8" s="193"/>
      <c r="DK8" s="193"/>
      <c r="DL8" s="193"/>
      <c r="DM8" s="193"/>
      <c r="DN8" s="193"/>
      <c r="DO8" s="193"/>
      <c r="DP8" s="193"/>
      <c r="DQ8" s="193"/>
      <c r="DR8" s="193"/>
      <c r="DS8" s="193"/>
      <c r="DT8" s="193"/>
      <c r="DU8" s="193"/>
      <c r="DV8" s="193"/>
      <c r="DW8" s="193"/>
      <c r="DX8" s="193"/>
      <c r="DY8" s="193"/>
      <c r="DZ8" s="193"/>
      <c r="EA8" s="193"/>
      <c r="EB8" s="193"/>
      <c r="EC8" s="193"/>
      <c r="ED8" s="193"/>
      <c r="EE8" s="193"/>
      <c r="EF8" s="193"/>
      <c r="EG8" s="193"/>
      <c r="EH8" s="193"/>
      <c r="EI8" s="193"/>
      <c r="EJ8" s="193"/>
      <c r="EK8" s="193"/>
      <c r="EL8" s="193"/>
      <c r="EM8" s="193"/>
      <c r="EN8" s="193"/>
      <c r="EO8" s="193"/>
      <c r="EP8" s="193"/>
      <c r="EQ8" s="193"/>
      <c r="ER8" s="193"/>
      <c r="ES8" s="193"/>
      <c r="ET8" s="193"/>
      <c r="EU8" s="193"/>
      <c r="EV8" s="193"/>
      <c r="EW8" s="193"/>
      <c r="EX8" s="193"/>
      <c r="EY8" s="193"/>
      <c r="EZ8" s="193"/>
      <c r="FA8" s="193"/>
      <c r="FB8" s="193"/>
      <c r="FC8" s="193"/>
      <c r="FD8" s="193"/>
      <c r="FE8" s="193"/>
      <c r="FF8" s="193"/>
      <c r="FG8" s="193"/>
      <c r="FH8" s="193"/>
      <c r="FI8" s="193"/>
      <c r="FJ8" s="193"/>
      <c r="FK8" s="193"/>
      <c r="FL8" s="193"/>
      <c r="FM8" s="193"/>
      <c r="FN8" s="193"/>
      <c r="FO8" s="193"/>
      <c r="FP8" s="193"/>
      <c r="FQ8" s="193"/>
      <c r="FR8" s="193"/>
      <c r="FS8" s="193"/>
      <c r="FT8" s="193"/>
      <c r="FU8" s="193"/>
      <c r="FV8" s="193"/>
      <c r="FW8" s="193"/>
      <c r="FX8" s="193"/>
      <c r="FY8" s="193"/>
      <c r="FZ8" s="193"/>
      <c r="GA8" s="193"/>
      <c r="GB8" s="193"/>
      <c r="GC8" s="193"/>
      <c r="GD8" s="193"/>
      <c r="GE8" s="193"/>
      <c r="GF8" s="193"/>
      <c r="GG8" s="193"/>
      <c r="GH8" s="193"/>
      <c r="GI8" s="193"/>
      <c r="GJ8" s="193"/>
      <c r="GK8" s="193"/>
      <c r="GL8" s="193"/>
      <c r="GM8" s="193"/>
      <c r="GN8" s="193"/>
      <c r="GO8" s="193"/>
      <c r="GP8" s="193"/>
      <c r="GQ8" s="193"/>
      <c r="GR8" s="193"/>
      <c r="GS8" s="193"/>
      <c r="GT8" s="193"/>
      <c r="GU8" s="193"/>
      <c r="GV8" s="193"/>
      <c r="GW8" s="193"/>
      <c r="GX8" s="193"/>
      <c r="GY8" s="193"/>
      <c r="GZ8" s="193"/>
      <c r="HA8" s="193"/>
      <c r="HB8" s="193"/>
      <c r="HC8" s="193"/>
      <c r="HD8" s="193"/>
      <c r="HE8" s="193"/>
      <c r="HF8" s="193"/>
      <c r="HG8" s="193"/>
      <c r="HH8" s="193"/>
      <c r="HI8" s="193"/>
      <c r="HJ8" s="193"/>
      <c r="HK8" s="193"/>
      <c r="HL8" s="193"/>
      <c r="HM8" s="193"/>
      <c r="HN8" s="193"/>
      <c r="HO8" s="193"/>
      <c r="HP8" s="193"/>
      <c r="HQ8" s="193"/>
      <c r="HR8" s="193"/>
      <c r="HS8" s="193"/>
      <c r="HT8" s="193"/>
      <c r="HU8" s="193"/>
      <c r="HV8" s="193"/>
      <c r="HW8" s="193"/>
      <c r="HX8" s="193"/>
      <c r="HY8" s="193"/>
      <c r="HZ8" s="193"/>
      <c r="IA8" s="193"/>
      <c r="IB8" s="193"/>
      <c r="IC8" s="193"/>
      <c r="ID8" s="193"/>
      <c r="IE8" s="193"/>
      <c r="IF8" s="193"/>
      <c r="IG8" s="193"/>
      <c r="IH8" s="193"/>
      <c r="II8" s="193"/>
      <c r="IJ8" s="193"/>
      <c r="IK8" s="193"/>
      <c r="IL8" s="193"/>
      <c r="IM8" s="193"/>
      <c r="IN8" s="193"/>
      <c r="IO8" s="193"/>
      <c r="IP8" s="193"/>
      <c r="IQ8" s="193"/>
      <c r="IR8" s="193"/>
      <c r="IS8" s="193"/>
      <c r="IT8" s="193"/>
      <c r="IU8" s="193"/>
      <c r="IV8" s="193"/>
    </row>
    <row r="9" spans="1:256" customFormat="1" ht="21" customHeight="1">
      <c r="A9" s="32" t="s">
        <v>929</v>
      </c>
      <c r="B9" s="199"/>
      <c r="C9" s="23">
        <v>150</v>
      </c>
      <c r="D9" s="198"/>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193"/>
      <c r="BK9" s="193"/>
      <c r="BL9" s="193"/>
      <c r="BM9" s="193"/>
      <c r="BN9" s="193"/>
      <c r="BO9" s="193"/>
      <c r="BP9" s="193"/>
      <c r="BQ9" s="193"/>
      <c r="BR9" s="193"/>
      <c r="BS9" s="193"/>
      <c r="BT9" s="193"/>
      <c r="BU9" s="193"/>
      <c r="BV9" s="193"/>
      <c r="BW9" s="193"/>
      <c r="BX9" s="193"/>
      <c r="BY9" s="193"/>
      <c r="BZ9" s="193"/>
      <c r="CA9" s="193"/>
      <c r="CB9" s="193"/>
      <c r="CC9" s="193"/>
      <c r="CD9" s="193"/>
      <c r="CE9" s="193"/>
      <c r="CF9" s="193"/>
      <c r="CG9" s="193"/>
      <c r="CH9" s="193"/>
      <c r="CI9" s="193"/>
      <c r="CJ9" s="193"/>
      <c r="CK9" s="193"/>
      <c r="CL9" s="193"/>
      <c r="CM9" s="193"/>
      <c r="CN9" s="193"/>
      <c r="CO9" s="193"/>
      <c r="CP9" s="193"/>
      <c r="CQ9" s="193"/>
      <c r="CR9" s="193"/>
      <c r="CS9" s="193"/>
      <c r="CT9" s="193"/>
      <c r="CU9" s="193"/>
      <c r="CV9" s="193"/>
      <c r="CW9" s="193"/>
      <c r="CX9" s="193"/>
      <c r="CY9" s="193"/>
      <c r="CZ9" s="193"/>
      <c r="DA9" s="193"/>
      <c r="DB9" s="193"/>
      <c r="DC9" s="193"/>
      <c r="DD9" s="193"/>
      <c r="DE9" s="193"/>
      <c r="DF9" s="193"/>
      <c r="DG9" s="193"/>
      <c r="DH9" s="193"/>
      <c r="DI9" s="193"/>
      <c r="DJ9" s="193"/>
      <c r="DK9" s="193"/>
      <c r="DL9" s="193"/>
      <c r="DM9" s="193"/>
      <c r="DN9" s="193"/>
      <c r="DO9" s="193"/>
      <c r="DP9" s="193"/>
      <c r="DQ9" s="193"/>
      <c r="DR9" s="193"/>
      <c r="DS9" s="193"/>
      <c r="DT9" s="193"/>
      <c r="DU9" s="193"/>
      <c r="DV9" s="193"/>
      <c r="DW9" s="193"/>
      <c r="DX9" s="193"/>
      <c r="DY9" s="193"/>
      <c r="DZ9" s="193"/>
      <c r="EA9" s="193"/>
      <c r="EB9" s="193"/>
      <c r="EC9" s="193"/>
      <c r="ED9" s="193"/>
      <c r="EE9" s="193"/>
      <c r="EF9" s="193"/>
      <c r="EG9" s="193"/>
      <c r="EH9" s="193"/>
      <c r="EI9" s="193"/>
      <c r="EJ9" s="193"/>
      <c r="EK9" s="193"/>
      <c r="EL9" s="193"/>
      <c r="EM9" s="193"/>
      <c r="EN9" s="193"/>
      <c r="EO9" s="193"/>
      <c r="EP9" s="193"/>
      <c r="EQ9" s="193"/>
      <c r="ER9" s="193"/>
      <c r="ES9" s="193"/>
      <c r="ET9" s="193"/>
      <c r="EU9" s="193"/>
      <c r="EV9" s="193"/>
      <c r="EW9" s="193"/>
      <c r="EX9" s="193"/>
      <c r="EY9" s="193"/>
      <c r="EZ9" s="193"/>
      <c r="FA9" s="193"/>
      <c r="FB9" s="193"/>
      <c r="FC9" s="193"/>
      <c r="FD9" s="193"/>
      <c r="FE9" s="193"/>
      <c r="FF9" s="193"/>
      <c r="FG9" s="193"/>
      <c r="FH9" s="193"/>
      <c r="FI9" s="193"/>
      <c r="FJ9" s="193"/>
      <c r="FK9" s="193"/>
      <c r="FL9" s="193"/>
      <c r="FM9" s="193"/>
      <c r="FN9" s="193"/>
      <c r="FO9" s="193"/>
      <c r="FP9" s="193"/>
      <c r="FQ9" s="193"/>
      <c r="FR9" s="193"/>
      <c r="FS9" s="193"/>
      <c r="FT9" s="193"/>
      <c r="FU9" s="193"/>
      <c r="FV9" s="193"/>
      <c r="FW9" s="193"/>
      <c r="FX9" s="193"/>
      <c r="FY9" s="193"/>
      <c r="FZ9" s="193"/>
      <c r="GA9" s="193"/>
      <c r="GB9" s="193"/>
      <c r="GC9" s="193"/>
      <c r="GD9" s="193"/>
      <c r="GE9" s="193"/>
      <c r="GF9" s="193"/>
      <c r="GG9" s="193"/>
      <c r="GH9" s="193"/>
      <c r="GI9" s="193"/>
      <c r="GJ9" s="193"/>
      <c r="GK9" s="193"/>
      <c r="GL9" s="193"/>
      <c r="GM9" s="193"/>
      <c r="GN9" s="193"/>
      <c r="GO9" s="193"/>
      <c r="GP9" s="193"/>
      <c r="GQ9" s="193"/>
      <c r="GR9" s="193"/>
      <c r="GS9" s="193"/>
      <c r="GT9" s="193"/>
      <c r="GU9" s="193"/>
      <c r="GV9" s="193"/>
      <c r="GW9" s="193"/>
      <c r="GX9" s="193"/>
      <c r="GY9" s="193"/>
      <c r="GZ9" s="193"/>
      <c r="HA9" s="193"/>
      <c r="HB9" s="193"/>
      <c r="HC9" s="193"/>
      <c r="HD9" s="193"/>
      <c r="HE9" s="193"/>
      <c r="HF9" s="193"/>
      <c r="HG9" s="193"/>
      <c r="HH9" s="193"/>
      <c r="HI9" s="193"/>
      <c r="HJ9" s="193"/>
      <c r="HK9" s="193"/>
      <c r="HL9" s="193"/>
      <c r="HM9" s="193"/>
      <c r="HN9" s="193"/>
      <c r="HO9" s="193"/>
      <c r="HP9" s="193"/>
      <c r="HQ9" s="193"/>
      <c r="HR9" s="193"/>
      <c r="HS9" s="193"/>
      <c r="HT9" s="193"/>
      <c r="HU9" s="193"/>
      <c r="HV9" s="193"/>
      <c r="HW9" s="193"/>
      <c r="HX9" s="193"/>
      <c r="HY9" s="193"/>
      <c r="HZ9" s="193"/>
      <c r="IA9" s="193"/>
      <c r="IB9" s="193"/>
      <c r="IC9" s="193"/>
      <c r="ID9" s="193"/>
      <c r="IE9" s="193"/>
      <c r="IF9" s="193"/>
      <c r="IG9" s="193"/>
      <c r="IH9" s="193"/>
      <c r="II9" s="193"/>
      <c r="IJ9" s="193"/>
      <c r="IK9" s="193"/>
      <c r="IL9" s="193"/>
      <c r="IM9" s="193"/>
      <c r="IN9" s="193"/>
      <c r="IO9" s="193"/>
      <c r="IP9" s="193"/>
      <c r="IQ9" s="193"/>
      <c r="IR9" s="193"/>
      <c r="IS9" s="193"/>
      <c r="IT9" s="193"/>
      <c r="IU9" s="193"/>
      <c r="IV9" s="193"/>
    </row>
    <row r="10" spans="1:256" customFormat="1" ht="21" customHeight="1">
      <c r="A10" s="32" t="s">
        <v>930</v>
      </c>
      <c r="B10" s="199">
        <v>50</v>
      </c>
      <c r="C10" s="23"/>
      <c r="D10" s="198">
        <f>+(C10-B10)/B10*100</f>
        <v>-100</v>
      </c>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3"/>
      <c r="CN10" s="193"/>
      <c r="CO10" s="193"/>
      <c r="CP10" s="193"/>
      <c r="CQ10" s="193"/>
      <c r="CR10" s="193"/>
      <c r="CS10" s="193"/>
      <c r="CT10" s="193"/>
      <c r="CU10" s="193"/>
      <c r="CV10" s="193"/>
      <c r="CW10" s="193"/>
      <c r="CX10" s="193"/>
      <c r="CY10" s="193"/>
      <c r="CZ10" s="193"/>
      <c r="DA10" s="193"/>
      <c r="DB10" s="193"/>
      <c r="DC10" s="193"/>
      <c r="DD10" s="193"/>
      <c r="DE10" s="193"/>
      <c r="DF10" s="193"/>
      <c r="DG10" s="193"/>
      <c r="DH10" s="193"/>
      <c r="DI10" s="193"/>
      <c r="DJ10" s="193"/>
      <c r="DK10" s="193"/>
      <c r="DL10" s="193"/>
      <c r="DM10" s="193"/>
      <c r="DN10" s="193"/>
      <c r="DO10" s="193"/>
      <c r="DP10" s="193"/>
      <c r="DQ10" s="193"/>
      <c r="DR10" s="193"/>
      <c r="DS10" s="193"/>
      <c r="DT10" s="193"/>
      <c r="DU10" s="193"/>
      <c r="DV10" s="193"/>
      <c r="DW10" s="193"/>
      <c r="DX10" s="193"/>
      <c r="DY10" s="193"/>
      <c r="DZ10" s="193"/>
      <c r="EA10" s="193"/>
      <c r="EB10" s="193"/>
      <c r="EC10" s="193"/>
      <c r="ED10" s="193"/>
      <c r="EE10" s="193"/>
      <c r="EF10" s="193"/>
      <c r="EG10" s="193"/>
      <c r="EH10" s="193"/>
      <c r="EI10" s="193"/>
      <c r="EJ10" s="193"/>
      <c r="EK10" s="193"/>
      <c r="EL10" s="193"/>
      <c r="EM10" s="193"/>
      <c r="EN10" s="193"/>
      <c r="EO10" s="193"/>
      <c r="EP10" s="193"/>
      <c r="EQ10" s="193"/>
      <c r="ER10" s="193"/>
      <c r="ES10" s="193"/>
      <c r="ET10" s="193"/>
      <c r="EU10" s="193"/>
      <c r="EV10" s="193"/>
      <c r="EW10" s="193"/>
      <c r="EX10" s="193"/>
      <c r="EY10" s="193"/>
      <c r="EZ10" s="193"/>
      <c r="FA10" s="193"/>
      <c r="FB10" s="193"/>
      <c r="FC10" s="193"/>
      <c r="FD10" s="193"/>
      <c r="FE10" s="193"/>
      <c r="FF10" s="193"/>
      <c r="FG10" s="193"/>
      <c r="FH10" s="193"/>
      <c r="FI10" s="193"/>
      <c r="FJ10" s="193"/>
      <c r="FK10" s="193"/>
      <c r="FL10" s="193"/>
      <c r="FM10" s="193"/>
      <c r="FN10" s="193"/>
      <c r="FO10" s="193"/>
      <c r="FP10" s="193"/>
      <c r="FQ10" s="193"/>
      <c r="FR10" s="193"/>
      <c r="FS10" s="193"/>
      <c r="FT10" s="193"/>
      <c r="FU10" s="193"/>
      <c r="FV10" s="193"/>
      <c r="FW10" s="193"/>
      <c r="FX10" s="193"/>
      <c r="FY10" s="193"/>
      <c r="FZ10" s="193"/>
      <c r="GA10" s="193"/>
      <c r="GB10" s="193"/>
      <c r="GC10" s="193"/>
      <c r="GD10" s="193"/>
      <c r="GE10" s="193"/>
      <c r="GF10" s="193"/>
      <c r="GG10" s="193"/>
      <c r="GH10" s="193"/>
      <c r="GI10" s="193"/>
      <c r="GJ10" s="193"/>
      <c r="GK10" s="193"/>
      <c r="GL10" s="193"/>
      <c r="GM10" s="193"/>
      <c r="GN10" s="193"/>
      <c r="GO10" s="193"/>
      <c r="GP10" s="193"/>
      <c r="GQ10" s="193"/>
      <c r="GR10" s="193"/>
      <c r="GS10" s="193"/>
      <c r="GT10" s="193"/>
      <c r="GU10" s="193"/>
      <c r="GV10" s="193"/>
      <c r="GW10" s="193"/>
      <c r="GX10" s="193"/>
      <c r="GY10" s="193"/>
      <c r="GZ10" s="193"/>
      <c r="HA10" s="193"/>
      <c r="HB10" s="193"/>
      <c r="HC10" s="193"/>
      <c r="HD10" s="193"/>
      <c r="HE10" s="193"/>
      <c r="HF10" s="193"/>
      <c r="HG10" s="193"/>
      <c r="HH10" s="193"/>
      <c r="HI10" s="193"/>
      <c r="HJ10" s="193"/>
      <c r="HK10" s="193"/>
      <c r="HL10" s="193"/>
      <c r="HM10" s="193"/>
      <c r="HN10" s="193"/>
      <c r="HO10" s="193"/>
      <c r="HP10" s="193"/>
      <c r="HQ10" s="193"/>
      <c r="HR10" s="193"/>
      <c r="HS10" s="193"/>
      <c r="HT10" s="193"/>
      <c r="HU10" s="193"/>
      <c r="HV10" s="193"/>
      <c r="HW10" s="193"/>
      <c r="HX10" s="193"/>
      <c r="HY10" s="193"/>
      <c r="HZ10" s="193"/>
      <c r="IA10" s="193"/>
      <c r="IB10" s="193"/>
      <c r="IC10" s="193"/>
      <c r="ID10" s="193"/>
      <c r="IE10" s="193"/>
      <c r="IF10" s="193"/>
      <c r="IG10" s="193"/>
      <c r="IH10" s="193"/>
      <c r="II10" s="193"/>
      <c r="IJ10" s="193"/>
      <c r="IK10" s="193"/>
      <c r="IL10" s="193"/>
      <c r="IM10" s="193"/>
      <c r="IN10" s="193"/>
      <c r="IO10" s="193"/>
      <c r="IP10" s="193"/>
      <c r="IQ10" s="193"/>
      <c r="IR10" s="193"/>
      <c r="IS10" s="193"/>
      <c r="IT10" s="193"/>
      <c r="IU10" s="193"/>
      <c r="IV10" s="193"/>
    </row>
    <row r="11" spans="1:256" customFormat="1" ht="21" customHeight="1">
      <c r="A11" s="32" t="s">
        <v>931</v>
      </c>
      <c r="B11" s="199"/>
      <c r="C11" s="23"/>
      <c r="D11" s="198"/>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c r="CD11" s="193"/>
      <c r="CE11" s="193"/>
      <c r="CF11" s="193"/>
      <c r="CG11" s="193"/>
      <c r="CH11" s="193"/>
      <c r="CI11" s="193"/>
      <c r="CJ11" s="193"/>
      <c r="CK11" s="193"/>
      <c r="CL11" s="193"/>
      <c r="CM11" s="193"/>
      <c r="CN11" s="193"/>
      <c r="CO11" s="193"/>
      <c r="CP11" s="193"/>
      <c r="CQ11" s="193"/>
      <c r="CR11" s="193"/>
      <c r="CS11" s="193"/>
      <c r="CT11" s="193"/>
      <c r="CU11" s="193"/>
      <c r="CV11" s="193"/>
      <c r="CW11" s="193"/>
      <c r="CX11" s="193"/>
      <c r="CY11" s="193"/>
      <c r="CZ11" s="193"/>
      <c r="DA11" s="193"/>
      <c r="DB11" s="193"/>
      <c r="DC11" s="193"/>
      <c r="DD11" s="193"/>
      <c r="DE11" s="193"/>
      <c r="DF11" s="193"/>
      <c r="DG11" s="193"/>
      <c r="DH11" s="193"/>
      <c r="DI11" s="193"/>
      <c r="DJ11" s="193"/>
      <c r="DK11" s="193"/>
      <c r="DL11" s="193"/>
      <c r="DM11" s="193"/>
      <c r="DN11" s="193"/>
      <c r="DO11" s="193"/>
      <c r="DP11" s="193"/>
      <c r="DQ11" s="193"/>
      <c r="DR11" s="193"/>
      <c r="DS11" s="193"/>
      <c r="DT11" s="193"/>
      <c r="DU11" s="193"/>
      <c r="DV11" s="193"/>
      <c r="DW11" s="193"/>
      <c r="DX11" s="193"/>
      <c r="DY11" s="193"/>
      <c r="DZ11" s="193"/>
      <c r="EA11" s="193"/>
      <c r="EB11" s="193"/>
      <c r="EC11" s="193"/>
      <c r="ED11" s="193"/>
      <c r="EE11" s="193"/>
      <c r="EF11" s="193"/>
      <c r="EG11" s="193"/>
      <c r="EH11" s="193"/>
      <c r="EI11" s="193"/>
      <c r="EJ11" s="193"/>
      <c r="EK11" s="193"/>
      <c r="EL11" s="193"/>
      <c r="EM11" s="193"/>
      <c r="EN11" s="193"/>
      <c r="EO11" s="193"/>
      <c r="EP11" s="193"/>
      <c r="EQ11" s="193"/>
      <c r="ER11" s="193"/>
      <c r="ES11" s="193"/>
      <c r="ET11" s="193"/>
      <c r="EU11" s="193"/>
      <c r="EV11" s="193"/>
      <c r="EW11" s="193"/>
      <c r="EX11" s="193"/>
      <c r="EY11" s="193"/>
      <c r="EZ11" s="193"/>
      <c r="FA11" s="193"/>
      <c r="FB11" s="193"/>
      <c r="FC11" s="193"/>
      <c r="FD11" s="193"/>
      <c r="FE11" s="193"/>
      <c r="FF11" s="193"/>
      <c r="FG11" s="193"/>
      <c r="FH11" s="193"/>
      <c r="FI11" s="193"/>
      <c r="FJ11" s="193"/>
      <c r="FK11" s="193"/>
      <c r="FL11" s="193"/>
      <c r="FM11" s="193"/>
      <c r="FN11" s="193"/>
      <c r="FO11" s="193"/>
      <c r="FP11" s="193"/>
      <c r="FQ11" s="193"/>
      <c r="FR11" s="193"/>
      <c r="FS11" s="193"/>
      <c r="FT11" s="193"/>
      <c r="FU11" s="193"/>
      <c r="FV11" s="193"/>
      <c r="FW11" s="193"/>
      <c r="FX11" s="193"/>
      <c r="FY11" s="193"/>
      <c r="FZ11" s="193"/>
      <c r="GA11" s="193"/>
      <c r="GB11" s="193"/>
      <c r="GC11" s="193"/>
      <c r="GD11" s="193"/>
      <c r="GE11" s="193"/>
      <c r="GF11" s="193"/>
      <c r="GG11" s="193"/>
      <c r="GH11" s="193"/>
      <c r="GI11" s="193"/>
      <c r="GJ11" s="193"/>
      <c r="GK11" s="193"/>
      <c r="GL11" s="193"/>
      <c r="GM11" s="193"/>
      <c r="GN11" s="193"/>
      <c r="GO11" s="193"/>
      <c r="GP11" s="193"/>
      <c r="GQ11" s="193"/>
      <c r="GR11" s="193"/>
      <c r="GS11" s="193"/>
      <c r="GT11" s="193"/>
      <c r="GU11" s="193"/>
      <c r="GV11" s="193"/>
      <c r="GW11" s="193"/>
      <c r="GX11" s="193"/>
      <c r="GY11" s="193"/>
      <c r="GZ11" s="193"/>
      <c r="HA11" s="193"/>
      <c r="HB11" s="193"/>
      <c r="HC11" s="193"/>
      <c r="HD11" s="193"/>
      <c r="HE11" s="193"/>
      <c r="HF11" s="193"/>
      <c r="HG11" s="193"/>
      <c r="HH11" s="193"/>
      <c r="HI11" s="193"/>
      <c r="HJ11" s="193"/>
      <c r="HK11" s="193"/>
      <c r="HL11" s="193"/>
      <c r="HM11" s="193"/>
      <c r="HN11" s="193"/>
      <c r="HO11" s="193"/>
      <c r="HP11" s="193"/>
      <c r="HQ11" s="193"/>
      <c r="HR11" s="193"/>
      <c r="HS11" s="193"/>
      <c r="HT11" s="193"/>
      <c r="HU11" s="193"/>
      <c r="HV11" s="193"/>
      <c r="HW11" s="193"/>
      <c r="HX11" s="193"/>
      <c r="HY11" s="193"/>
      <c r="HZ11" s="193"/>
      <c r="IA11" s="193"/>
      <c r="IB11" s="193"/>
      <c r="IC11" s="193"/>
      <c r="ID11" s="193"/>
      <c r="IE11" s="193"/>
      <c r="IF11" s="193"/>
      <c r="IG11" s="193"/>
      <c r="IH11" s="193"/>
      <c r="II11" s="193"/>
      <c r="IJ11" s="193"/>
      <c r="IK11" s="193"/>
      <c r="IL11" s="193"/>
      <c r="IM11" s="193"/>
      <c r="IN11" s="193"/>
      <c r="IO11" s="193"/>
      <c r="IP11" s="193"/>
      <c r="IQ11" s="193"/>
      <c r="IR11" s="193"/>
      <c r="IS11" s="193"/>
      <c r="IT11" s="193"/>
      <c r="IU11" s="193"/>
      <c r="IV11" s="193"/>
    </row>
    <row r="12" spans="1:256" customFormat="1" ht="21" customHeight="1">
      <c r="A12" s="33" t="s">
        <v>932</v>
      </c>
      <c r="B12" s="199"/>
      <c r="C12" s="23"/>
      <c r="D12" s="198"/>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c r="BG12" s="193"/>
      <c r="BH12" s="193"/>
      <c r="BI12" s="193"/>
      <c r="BJ12" s="193"/>
      <c r="BK12" s="193"/>
      <c r="BL12" s="193"/>
      <c r="BM12" s="193"/>
      <c r="BN12" s="193"/>
      <c r="BO12" s="193"/>
      <c r="BP12" s="193"/>
      <c r="BQ12" s="193"/>
      <c r="BR12" s="193"/>
      <c r="BS12" s="193"/>
      <c r="BT12" s="193"/>
      <c r="BU12" s="193"/>
      <c r="BV12" s="193"/>
      <c r="BW12" s="193"/>
      <c r="BX12" s="193"/>
      <c r="BY12" s="193"/>
      <c r="BZ12" s="193"/>
      <c r="CA12" s="193"/>
      <c r="CB12" s="193"/>
      <c r="CC12" s="193"/>
      <c r="CD12" s="193"/>
      <c r="CE12" s="193"/>
      <c r="CF12" s="193"/>
      <c r="CG12" s="193"/>
      <c r="CH12" s="193"/>
      <c r="CI12" s="193"/>
      <c r="CJ12" s="193"/>
      <c r="CK12" s="193"/>
      <c r="CL12" s="193"/>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193"/>
      <c r="DJ12" s="193"/>
      <c r="DK12" s="193"/>
      <c r="DL12" s="193"/>
      <c r="DM12" s="193"/>
      <c r="DN12" s="193"/>
      <c r="DO12" s="193"/>
      <c r="DP12" s="193"/>
      <c r="DQ12" s="193"/>
      <c r="DR12" s="193"/>
      <c r="DS12" s="193"/>
      <c r="DT12" s="193"/>
      <c r="DU12" s="193"/>
      <c r="DV12" s="193"/>
      <c r="DW12" s="193"/>
      <c r="DX12" s="193"/>
      <c r="DY12" s="193"/>
      <c r="DZ12" s="193"/>
      <c r="EA12" s="193"/>
      <c r="EB12" s="193"/>
      <c r="EC12" s="193"/>
      <c r="ED12" s="193"/>
      <c r="EE12" s="193"/>
      <c r="EF12" s="193"/>
      <c r="EG12" s="193"/>
      <c r="EH12" s="193"/>
      <c r="EI12" s="193"/>
      <c r="EJ12" s="193"/>
      <c r="EK12" s="193"/>
      <c r="EL12" s="193"/>
      <c r="EM12" s="193"/>
      <c r="EN12" s="193"/>
      <c r="EO12" s="193"/>
      <c r="EP12" s="193"/>
      <c r="EQ12" s="193"/>
      <c r="ER12" s="193"/>
      <c r="ES12" s="193"/>
      <c r="ET12" s="193"/>
      <c r="EU12" s="193"/>
      <c r="EV12" s="193"/>
      <c r="EW12" s="193"/>
      <c r="EX12" s="193"/>
      <c r="EY12" s="193"/>
      <c r="EZ12" s="193"/>
      <c r="FA12" s="193"/>
      <c r="FB12" s="193"/>
      <c r="FC12" s="193"/>
      <c r="FD12" s="193"/>
      <c r="FE12" s="193"/>
      <c r="FF12" s="193"/>
      <c r="FG12" s="193"/>
      <c r="FH12" s="193"/>
      <c r="FI12" s="193"/>
      <c r="FJ12" s="193"/>
      <c r="FK12" s="193"/>
      <c r="FL12" s="193"/>
      <c r="FM12" s="193"/>
      <c r="FN12" s="193"/>
      <c r="FO12" s="193"/>
      <c r="FP12" s="193"/>
      <c r="FQ12" s="193"/>
      <c r="FR12" s="193"/>
      <c r="FS12" s="193"/>
      <c r="FT12" s="193"/>
      <c r="FU12" s="193"/>
      <c r="FV12" s="193"/>
      <c r="FW12" s="193"/>
      <c r="FX12" s="193"/>
      <c r="FY12" s="193"/>
      <c r="FZ12" s="193"/>
      <c r="GA12" s="193"/>
      <c r="GB12" s="193"/>
      <c r="GC12" s="193"/>
      <c r="GD12" s="193"/>
      <c r="GE12" s="193"/>
      <c r="GF12" s="193"/>
      <c r="GG12" s="193"/>
      <c r="GH12" s="193"/>
      <c r="GI12" s="193"/>
      <c r="GJ12" s="193"/>
      <c r="GK12" s="193"/>
      <c r="GL12" s="193"/>
      <c r="GM12" s="193"/>
      <c r="GN12" s="193"/>
      <c r="GO12" s="193"/>
      <c r="GP12" s="193"/>
      <c r="GQ12" s="193"/>
      <c r="GR12" s="193"/>
      <c r="GS12" s="193"/>
      <c r="GT12" s="193"/>
      <c r="GU12" s="193"/>
      <c r="GV12" s="193"/>
      <c r="GW12" s="193"/>
      <c r="GX12" s="193"/>
      <c r="GY12" s="193"/>
      <c r="GZ12" s="193"/>
      <c r="HA12" s="193"/>
      <c r="HB12" s="193"/>
      <c r="HC12" s="193"/>
      <c r="HD12" s="193"/>
      <c r="HE12" s="193"/>
      <c r="HF12" s="193"/>
      <c r="HG12" s="193"/>
      <c r="HH12" s="193"/>
      <c r="HI12" s="193"/>
      <c r="HJ12" s="193"/>
      <c r="HK12" s="193"/>
      <c r="HL12" s="193"/>
      <c r="HM12" s="193"/>
      <c r="HN12" s="193"/>
      <c r="HO12" s="193"/>
      <c r="HP12" s="193"/>
      <c r="HQ12" s="193"/>
      <c r="HR12" s="193"/>
      <c r="HS12" s="193"/>
      <c r="HT12" s="193"/>
      <c r="HU12" s="193"/>
      <c r="HV12" s="193"/>
      <c r="HW12" s="193"/>
      <c r="HX12" s="193"/>
      <c r="HY12" s="193"/>
      <c r="HZ12" s="193"/>
      <c r="IA12" s="193"/>
      <c r="IB12" s="193"/>
      <c r="IC12" s="193"/>
      <c r="ID12" s="193"/>
      <c r="IE12" s="193"/>
      <c r="IF12" s="193"/>
      <c r="IG12" s="193"/>
      <c r="IH12" s="193"/>
      <c r="II12" s="193"/>
      <c r="IJ12" s="193"/>
      <c r="IK12" s="193"/>
      <c r="IL12" s="193"/>
      <c r="IM12" s="193"/>
      <c r="IN12" s="193"/>
      <c r="IO12" s="193"/>
      <c r="IP12" s="193"/>
      <c r="IQ12" s="193"/>
      <c r="IR12" s="193"/>
      <c r="IS12" s="193"/>
      <c r="IT12" s="193"/>
      <c r="IU12" s="193"/>
      <c r="IV12" s="193"/>
    </row>
    <row r="13" spans="1:256" customFormat="1" ht="21" customHeight="1">
      <c r="A13" s="32" t="s">
        <v>933</v>
      </c>
      <c r="B13" s="199">
        <v>334</v>
      </c>
      <c r="C13" s="23">
        <v>113828</v>
      </c>
      <c r="D13" s="198"/>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c r="CY13" s="193"/>
      <c r="CZ13" s="193"/>
      <c r="DA13" s="193"/>
      <c r="DB13" s="193"/>
      <c r="DC13" s="193"/>
      <c r="DD13" s="193"/>
      <c r="DE13" s="193"/>
      <c r="DF13" s="193"/>
      <c r="DG13" s="193"/>
      <c r="DH13" s="193"/>
      <c r="DI13" s="193"/>
      <c r="DJ13" s="193"/>
      <c r="DK13" s="193"/>
      <c r="DL13" s="193"/>
      <c r="DM13" s="193"/>
      <c r="DN13" s="193"/>
      <c r="DO13" s="193"/>
      <c r="DP13" s="193"/>
      <c r="DQ13" s="193"/>
      <c r="DR13" s="193"/>
      <c r="DS13" s="193"/>
      <c r="DT13" s="193"/>
      <c r="DU13" s="193"/>
      <c r="DV13" s="193"/>
      <c r="DW13" s="193"/>
      <c r="DX13" s="193"/>
      <c r="DY13" s="193"/>
      <c r="DZ13" s="193"/>
      <c r="EA13" s="193"/>
      <c r="EB13" s="193"/>
      <c r="EC13" s="193"/>
      <c r="ED13" s="193"/>
      <c r="EE13" s="193"/>
      <c r="EF13" s="193"/>
      <c r="EG13" s="193"/>
      <c r="EH13" s="193"/>
      <c r="EI13" s="193"/>
      <c r="EJ13" s="193"/>
      <c r="EK13" s="193"/>
      <c r="EL13" s="193"/>
      <c r="EM13" s="193"/>
      <c r="EN13" s="193"/>
      <c r="EO13" s="193"/>
      <c r="EP13" s="193"/>
      <c r="EQ13" s="193"/>
      <c r="ER13" s="193"/>
      <c r="ES13" s="193"/>
      <c r="ET13" s="193"/>
      <c r="EU13" s="193"/>
      <c r="EV13" s="193"/>
      <c r="EW13" s="193"/>
      <c r="EX13" s="193"/>
      <c r="EY13" s="193"/>
      <c r="EZ13" s="193"/>
      <c r="FA13" s="193"/>
      <c r="FB13" s="193"/>
      <c r="FC13" s="193"/>
      <c r="FD13" s="193"/>
      <c r="FE13" s="193"/>
      <c r="FF13" s="193"/>
      <c r="FG13" s="193"/>
      <c r="FH13" s="193"/>
      <c r="FI13" s="193"/>
      <c r="FJ13" s="193"/>
      <c r="FK13" s="193"/>
      <c r="FL13" s="193"/>
      <c r="FM13" s="193"/>
      <c r="FN13" s="193"/>
      <c r="FO13" s="193"/>
      <c r="FP13" s="193"/>
      <c r="FQ13" s="193"/>
      <c r="FR13" s="193"/>
      <c r="FS13" s="193"/>
      <c r="FT13" s="193"/>
      <c r="FU13" s="193"/>
      <c r="FV13" s="193"/>
      <c r="FW13" s="193"/>
      <c r="FX13" s="193"/>
      <c r="FY13" s="193"/>
      <c r="FZ13" s="193"/>
      <c r="GA13" s="193"/>
      <c r="GB13" s="193"/>
      <c r="GC13" s="193"/>
      <c r="GD13" s="193"/>
      <c r="GE13" s="193"/>
      <c r="GF13" s="193"/>
      <c r="GG13" s="193"/>
      <c r="GH13" s="193"/>
      <c r="GI13" s="193"/>
      <c r="GJ13" s="193"/>
      <c r="GK13" s="193"/>
      <c r="GL13" s="193"/>
      <c r="GM13" s="193"/>
      <c r="GN13" s="193"/>
      <c r="GO13" s="193"/>
      <c r="GP13" s="193"/>
      <c r="GQ13" s="193"/>
      <c r="GR13" s="193"/>
      <c r="GS13" s="193"/>
      <c r="GT13" s="193"/>
      <c r="GU13" s="193"/>
      <c r="GV13" s="193"/>
      <c r="GW13" s="193"/>
      <c r="GX13" s="193"/>
      <c r="GY13" s="193"/>
      <c r="GZ13" s="193"/>
      <c r="HA13" s="193"/>
      <c r="HB13" s="193"/>
      <c r="HC13" s="193"/>
      <c r="HD13" s="193"/>
      <c r="HE13" s="193"/>
      <c r="HF13" s="193"/>
      <c r="HG13" s="193"/>
      <c r="HH13" s="193"/>
      <c r="HI13" s="193"/>
      <c r="HJ13" s="193"/>
      <c r="HK13" s="193"/>
      <c r="HL13" s="193"/>
      <c r="HM13" s="193"/>
      <c r="HN13" s="193"/>
      <c r="HO13" s="193"/>
      <c r="HP13" s="193"/>
      <c r="HQ13" s="193"/>
      <c r="HR13" s="193"/>
      <c r="HS13" s="193"/>
      <c r="HT13" s="193"/>
      <c r="HU13" s="193"/>
      <c r="HV13" s="193"/>
      <c r="HW13" s="193"/>
      <c r="HX13" s="193"/>
      <c r="HY13" s="193"/>
      <c r="HZ13" s="193"/>
      <c r="IA13" s="193"/>
      <c r="IB13" s="193"/>
      <c r="IC13" s="193"/>
      <c r="ID13" s="193"/>
      <c r="IE13" s="193"/>
      <c r="IF13" s="193"/>
      <c r="IG13" s="193"/>
      <c r="IH13" s="193"/>
      <c r="II13" s="193"/>
      <c r="IJ13" s="193"/>
      <c r="IK13" s="193"/>
      <c r="IL13" s="193"/>
      <c r="IM13" s="193"/>
      <c r="IN13" s="193"/>
      <c r="IO13" s="193"/>
      <c r="IP13" s="193"/>
      <c r="IQ13" s="193"/>
      <c r="IR13" s="193"/>
      <c r="IS13" s="193"/>
      <c r="IT13" s="193"/>
      <c r="IU13" s="193"/>
      <c r="IV13" s="193"/>
    </row>
    <row r="14" spans="1:256" customFormat="1" ht="21" customHeight="1">
      <c r="A14" s="31" t="s">
        <v>901</v>
      </c>
      <c r="B14" s="199"/>
      <c r="C14" s="23"/>
      <c r="D14" s="198"/>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c r="CY14" s="193"/>
      <c r="CZ14" s="193"/>
      <c r="DA14" s="193"/>
      <c r="DB14" s="193"/>
      <c r="DC14" s="193"/>
      <c r="DD14" s="193"/>
      <c r="DE14" s="193"/>
      <c r="DF14" s="193"/>
      <c r="DG14" s="193"/>
      <c r="DH14" s="193"/>
      <c r="DI14" s="193"/>
      <c r="DJ14" s="193"/>
      <c r="DK14" s="193"/>
      <c r="DL14" s="193"/>
      <c r="DM14" s="193"/>
      <c r="DN14" s="193"/>
      <c r="DO14" s="193"/>
      <c r="DP14" s="193"/>
      <c r="DQ14" s="193"/>
      <c r="DR14" s="193"/>
      <c r="DS14" s="193"/>
      <c r="DT14" s="193"/>
      <c r="DU14" s="193"/>
      <c r="DV14" s="193"/>
      <c r="DW14" s="193"/>
      <c r="DX14" s="193"/>
      <c r="DY14" s="193"/>
      <c r="DZ14" s="193"/>
      <c r="EA14" s="193"/>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3"/>
      <c r="FK14" s="193"/>
      <c r="FL14" s="193"/>
      <c r="FM14" s="193"/>
      <c r="FN14" s="193"/>
      <c r="FO14" s="193"/>
      <c r="FP14" s="193"/>
      <c r="FQ14" s="193"/>
      <c r="FR14" s="193"/>
      <c r="FS14" s="193"/>
      <c r="FT14" s="193"/>
      <c r="FU14" s="193"/>
      <c r="FV14" s="193"/>
      <c r="FW14" s="193"/>
      <c r="FX14" s="193"/>
      <c r="FY14" s="193"/>
      <c r="FZ14" s="193"/>
      <c r="GA14" s="193"/>
      <c r="GB14" s="193"/>
      <c r="GC14" s="193"/>
      <c r="GD14" s="193"/>
      <c r="GE14" s="193"/>
      <c r="GF14" s="193"/>
      <c r="GG14" s="193"/>
      <c r="GH14" s="193"/>
      <c r="GI14" s="193"/>
      <c r="GJ14" s="193"/>
      <c r="GK14" s="193"/>
      <c r="GL14" s="193"/>
      <c r="GM14" s="193"/>
      <c r="GN14" s="193"/>
      <c r="GO14" s="193"/>
      <c r="GP14" s="193"/>
      <c r="GQ14" s="193"/>
      <c r="GR14" s="193"/>
      <c r="GS14" s="193"/>
      <c r="GT14" s="193"/>
      <c r="GU14" s="193"/>
      <c r="GV14" s="193"/>
      <c r="GW14" s="193"/>
      <c r="GX14" s="193"/>
      <c r="GY14" s="193"/>
      <c r="GZ14" s="193"/>
      <c r="HA14" s="193"/>
      <c r="HB14" s="193"/>
      <c r="HC14" s="193"/>
      <c r="HD14" s="193"/>
      <c r="HE14" s="193"/>
      <c r="HF14" s="193"/>
      <c r="HG14" s="193"/>
      <c r="HH14" s="193"/>
      <c r="HI14" s="193"/>
      <c r="HJ14" s="193"/>
      <c r="HK14" s="193"/>
      <c r="HL14" s="193"/>
      <c r="HM14" s="193"/>
      <c r="HN14" s="193"/>
      <c r="HO14" s="193"/>
      <c r="HP14" s="193"/>
      <c r="HQ14" s="193"/>
      <c r="HR14" s="193"/>
      <c r="HS14" s="193"/>
      <c r="HT14" s="193"/>
      <c r="HU14" s="193"/>
      <c r="HV14" s="193"/>
      <c r="HW14" s="193"/>
      <c r="HX14" s="193"/>
      <c r="HY14" s="193"/>
      <c r="HZ14" s="193"/>
      <c r="IA14" s="193"/>
      <c r="IB14" s="193"/>
      <c r="IC14" s="193"/>
      <c r="ID14" s="193"/>
      <c r="IE14" s="193"/>
      <c r="IF14" s="193"/>
      <c r="IG14" s="193"/>
      <c r="IH14" s="193"/>
      <c r="II14" s="193"/>
      <c r="IJ14" s="193"/>
      <c r="IK14" s="193"/>
      <c r="IL14" s="193"/>
      <c r="IM14" s="193"/>
      <c r="IN14" s="193"/>
      <c r="IO14" s="193"/>
      <c r="IP14" s="193"/>
      <c r="IQ14" s="193"/>
      <c r="IR14" s="193"/>
      <c r="IS14" s="193"/>
      <c r="IT14" s="193"/>
      <c r="IU14" s="193"/>
      <c r="IV14" s="193"/>
    </row>
    <row r="15" spans="1:256" customFormat="1" ht="21" customHeight="1">
      <c r="A15" s="32" t="s">
        <v>934</v>
      </c>
      <c r="B15" s="199"/>
      <c r="C15" s="23"/>
      <c r="D15" s="200"/>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c r="DM15" s="193"/>
      <c r="DN15" s="193"/>
      <c r="DO15" s="193"/>
      <c r="DP15" s="193"/>
      <c r="DQ15" s="193"/>
      <c r="DR15" s="193"/>
      <c r="DS15" s="193"/>
      <c r="DT15" s="193"/>
      <c r="DU15" s="193"/>
      <c r="DV15" s="193"/>
      <c r="DW15" s="193"/>
      <c r="DX15" s="193"/>
      <c r="DY15" s="193"/>
      <c r="DZ15" s="193"/>
      <c r="EA15" s="193"/>
      <c r="EB15" s="193"/>
      <c r="EC15" s="193"/>
      <c r="ED15" s="193"/>
      <c r="EE15" s="193"/>
      <c r="EF15" s="193"/>
      <c r="EG15" s="193"/>
      <c r="EH15" s="193"/>
      <c r="EI15" s="193"/>
      <c r="EJ15" s="193"/>
      <c r="EK15" s="193"/>
      <c r="EL15" s="193"/>
      <c r="EM15" s="193"/>
      <c r="EN15" s="193"/>
      <c r="EO15" s="193"/>
      <c r="EP15" s="193"/>
      <c r="EQ15" s="193"/>
      <c r="ER15" s="193"/>
      <c r="ES15" s="193"/>
      <c r="ET15" s="193"/>
      <c r="EU15" s="193"/>
      <c r="EV15" s="193"/>
      <c r="EW15" s="193"/>
      <c r="EX15" s="193"/>
      <c r="EY15" s="193"/>
      <c r="EZ15" s="193"/>
      <c r="FA15" s="193"/>
      <c r="FB15" s="193"/>
      <c r="FC15" s="193"/>
      <c r="FD15" s="193"/>
      <c r="FE15" s="193"/>
      <c r="FF15" s="193"/>
      <c r="FG15" s="193"/>
      <c r="FH15" s="193"/>
      <c r="FI15" s="193"/>
      <c r="FJ15" s="193"/>
      <c r="FK15" s="193"/>
      <c r="FL15" s="193"/>
      <c r="FM15" s="193"/>
      <c r="FN15" s="193"/>
      <c r="FO15" s="193"/>
      <c r="FP15" s="193"/>
      <c r="FQ15" s="193"/>
      <c r="FR15" s="193"/>
      <c r="FS15" s="193"/>
      <c r="FT15" s="193"/>
      <c r="FU15" s="193"/>
      <c r="FV15" s="193"/>
      <c r="FW15" s="193"/>
      <c r="FX15" s="193"/>
      <c r="FY15" s="193"/>
      <c r="FZ15" s="193"/>
      <c r="GA15" s="193"/>
      <c r="GB15" s="193"/>
      <c r="GC15" s="193"/>
      <c r="GD15" s="193"/>
      <c r="GE15" s="193"/>
      <c r="GF15" s="193"/>
      <c r="GG15" s="193"/>
      <c r="GH15" s="193"/>
      <c r="GI15" s="193"/>
      <c r="GJ15" s="193"/>
      <c r="GK15" s="193"/>
      <c r="GL15" s="193"/>
      <c r="GM15" s="193"/>
      <c r="GN15" s="193"/>
      <c r="GO15" s="193"/>
      <c r="GP15" s="193"/>
      <c r="GQ15" s="193"/>
      <c r="GR15" s="193"/>
      <c r="GS15" s="193"/>
      <c r="GT15" s="193"/>
      <c r="GU15" s="193"/>
      <c r="GV15" s="193"/>
      <c r="GW15" s="193"/>
      <c r="GX15" s="193"/>
      <c r="GY15" s="193"/>
      <c r="GZ15" s="193"/>
      <c r="HA15" s="193"/>
      <c r="HB15" s="193"/>
      <c r="HC15" s="193"/>
      <c r="HD15" s="193"/>
      <c r="HE15" s="193"/>
      <c r="HF15" s="193"/>
      <c r="HG15" s="193"/>
      <c r="HH15" s="193"/>
      <c r="HI15" s="193"/>
      <c r="HJ15" s="193"/>
      <c r="HK15" s="193"/>
      <c r="HL15" s="193"/>
      <c r="HM15" s="193"/>
      <c r="HN15" s="193"/>
      <c r="HO15" s="193"/>
      <c r="HP15" s="193"/>
      <c r="HQ15" s="193"/>
      <c r="HR15" s="193"/>
      <c r="HS15" s="193"/>
      <c r="HT15" s="193"/>
      <c r="HU15" s="193"/>
      <c r="HV15" s="193"/>
      <c r="HW15" s="193"/>
      <c r="HX15" s="193"/>
      <c r="HY15" s="193"/>
      <c r="HZ15" s="193"/>
      <c r="IA15" s="193"/>
      <c r="IB15" s="193"/>
      <c r="IC15" s="193"/>
      <c r="ID15" s="193"/>
      <c r="IE15" s="193"/>
      <c r="IF15" s="193"/>
      <c r="IG15" s="193"/>
      <c r="IH15" s="193"/>
      <c r="II15" s="193"/>
      <c r="IJ15" s="193"/>
      <c r="IK15" s="193"/>
      <c r="IL15" s="193"/>
      <c r="IM15" s="193"/>
      <c r="IN15" s="193"/>
      <c r="IO15" s="193"/>
      <c r="IP15" s="193"/>
      <c r="IQ15" s="193"/>
      <c r="IR15" s="193"/>
      <c r="IS15" s="193"/>
      <c r="IT15" s="193"/>
      <c r="IU15" s="193"/>
      <c r="IV15" s="193"/>
    </row>
    <row r="16" spans="1:256" customFormat="1" ht="21" customHeight="1">
      <c r="A16" s="31" t="s">
        <v>902</v>
      </c>
      <c r="B16" s="199"/>
      <c r="C16" s="46"/>
      <c r="D16" s="198"/>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c r="CY16" s="193"/>
      <c r="CZ16" s="193"/>
      <c r="DA16" s="193"/>
      <c r="DB16" s="193"/>
      <c r="DC16" s="193"/>
      <c r="DD16" s="193"/>
      <c r="DE16" s="193"/>
      <c r="DF16" s="193"/>
      <c r="DG16" s="193"/>
      <c r="DH16" s="193"/>
      <c r="DI16" s="193"/>
      <c r="DJ16" s="193"/>
      <c r="DK16" s="193"/>
      <c r="DL16" s="193"/>
      <c r="DM16" s="193"/>
      <c r="DN16" s="193"/>
      <c r="DO16" s="193"/>
      <c r="DP16" s="193"/>
      <c r="DQ16" s="193"/>
      <c r="DR16" s="193"/>
      <c r="DS16" s="193"/>
      <c r="DT16" s="193"/>
      <c r="DU16" s="193"/>
      <c r="DV16" s="193"/>
      <c r="DW16" s="193"/>
      <c r="DX16" s="193"/>
      <c r="DY16" s="193"/>
      <c r="DZ16" s="193"/>
      <c r="EA16" s="193"/>
      <c r="EB16" s="193"/>
      <c r="EC16" s="193"/>
      <c r="ED16" s="193"/>
      <c r="EE16" s="193"/>
      <c r="EF16" s="193"/>
      <c r="EG16" s="193"/>
      <c r="EH16" s="193"/>
      <c r="EI16" s="193"/>
      <c r="EJ16" s="193"/>
      <c r="EK16" s="193"/>
      <c r="EL16" s="193"/>
      <c r="EM16" s="193"/>
      <c r="EN16" s="193"/>
      <c r="EO16" s="193"/>
      <c r="EP16" s="193"/>
      <c r="EQ16" s="193"/>
      <c r="ER16" s="193"/>
      <c r="ES16" s="193"/>
      <c r="ET16" s="193"/>
      <c r="EU16" s="193"/>
      <c r="EV16" s="193"/>
      <c r="EW16" s="193"/>
      <c r="EX16" s="193"/>
      <c r="EY16" s="193"/>
      <c r="EZ16" s="193"/>
      <c r="FA16" s="193"/>
      <c r="FB16" s="193"/>
      <c r="FC16" s="193"/>
      <c r="FD16" s="193"/>
      <c r="FE16" s="193"/>
      <c r="FF16" s="193"/>
      <c r="FG16" s="193"/>
      <c r="FH16" s="193"/>
      <c r="FI16" s="193"/>
      <c r="FJ16" s="193"/>
      <c r="FK16" s="193"/>
      <c r="FL16" s="193"/>
      <c r="FM16" s="193"/>
      <c r="FN16" s="193"/>
      <c r="FO16" s="193"/>
      <c r="FP16" s="193"/>
      <c r="FQ16" s="193"/>
      <c r="FR16" s="193"/>
      <c r="FS16" s="193"/>
      <c r="FT16" s="193"/>
      <c r="FU16" s="193"/>
      <c r="FV16" s="193"/>
      <c r="FW16" s="193"/>
      <c r="FX16" s="193"/>
      <c r="FY16" s="193"/>
      <c r="FZ16" s="193"/>
      <c r="GA16" s="193"/>
      <c r="GB16" s="193"/>
      <c r="GC16" s="193"/>
      <c r="GD16" s="193"/>
      <c r="GE16" s="193"/>
      <c r="GF16" s="193"/>
      <c r="GG16" s="193"/>
      <c r="GH16" s="193"/>
      <c r="GI16" s="193"/>
      <c r="GJ16" s="193"/>
      <c r="GK16" s="193"/>
      <c r="GL16" s="193"/>
      <c r="GM16" s="193"/>
      <c r="GN16" s="193"/>
      <c r="GO16" s="193"/>
      <c r="GP16" s="193"/>
      <c r="GQ16" s="193"/>
      <c r="GR16" s="193"/>
      <c r="GS16" s="193"/>
      <c r="GT16" s="193"/>
      <c r="GU16" s="193"/>
      <c r="GV16" s="193"/>
      <c r="GW16" s="193"/>
      <c r="GX16" s="193"/>
      <c r="GY16" s="193"/>
      <c r="GZ16" s="193"/>
      <c r="HA16" s="193"/>
      <c r="HB16" s="193"/>
      <c r="HC16" s="193"/>
      <c r="HD16" s="193"/>
      <c r="HE16" s="193"/>
      <c r="HF16" s="193"/>
      <c r="HG16" s="193"/>
      <c r="HH16" s="193"/>
      <c r="HI16" s="193"/>
      <c r="HJ16" s="193"/>
      <c r="HK16" s="193"/>
      <c r="HL16" s="193"/>
      <c r="HM16" s="193"/>
      <c r="HN16" s="193"/>
      <c r="HO16" s="193"/>
      <c r="HP16" s="193"/>
      <c r="HQ16" s="193"/>
      <c r="HR16" s="193"/>
      <c r="HS16" s="193"/>
      <c r="HT16" s="193"/>
      <c r="HU16" s="193"/>
      <c r="HV16" s="193"/>
      <c r="HW16" s="193"/>
      <c r="HX16" s="193"/>
      <c r="HY16" s="193"/>
      <c r="HZ16" s="193"/>
      <c r="IA16" s="193"/>
      <c r="IB16" s="193"/>
      <c r="IC16" s="193"/>
      <c r="ID16" s="193"/>
      <c r="IE16" s="193"/>
      <c r="IF16" s="193"/>
      <c r="IG16" s="193"/>
      <c r="IH16" s="193"/>
      <c r="II16" s="193"/>
      <c r="IJ16" s="193"/>
      <c r="IK16" s="193"/>
      <c r="IL16" s="193"/>
      <c r="IM16" s="193"/>
      <c r="IN16" s="193"/>
      <c r="IO16" s="193"/>
      <c r="IP16" s="193"/>
      <c r="IQ16" s="193"/>
      <c r="IR16" s="193"/>
      <c r="IS16" s="193"/>
      <c r="IT16" s="193"/>
      <c r="IU16" s="193"/>
      <c r="IV16" s="193"/>
    </row>
    <row r="17" spans="1:256" customFormat="1" ht="21" customHeight="1">
      <c r="A17" s="31" t="s">
        <v>903</v>
      </c>
      <c r="B17" s="199">
        <v>5000</v>
      </c>
      <c r="C17" s="46">
        <f t="shared" ref="C17" si="1">+C18</f>
        <v>7150</v>
      </c>
      <c r="D17" s="198">
        <f t="shared" ref="D17:D20" si="2">+(C17-B17)/B17*100</f>
        <v>43</v>
      </c>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c r="BG17" s="193"/>
      <c r="BH17" s="193"/>
      <c r="BI17" s="193"/>
      <c r="BJ17" s="193"/>
      <c r="BK17" s="193"/>
      <c r="BL17" s="193"/>
      <c r="BM17" s="193"/>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93"/>
      <c r="DD17" s="193"/>
      <c r="DE17" s="193"/>
      <c r="DF17" s="193"/>
      <c r="DG17" s="193"/>
      <c r="DH17" s="193"/>
      <c r="DI17" s="193"/>
      <c r="DJ17" s="193"/>
      <c r="DK17" s="193"/>
      <c r="DL17" s="193"/>
      <c r="DM17" s="193"/>
      <c r="DN17" s="193"/>
      <c r="DO17" s="193"/>
      <c r="DP17" s="193"/>
      <c r="DQ17" s="193"/>
      <c r="DR17" s="193"/>
      <c r="DS17" s="193"/>
      <c r="DT17" s="193"/>
      <c r="DU17" s="193"/>
      <c r="DV17" s="193"/>
      <c r="DW17" s="193"/>
      <c r="DX17" s="193"/>
      <c r="DY17" s="193"/>
      <c r="DZ17" s="193"/>
      <c r="EA17" s="193"/>
      <c r="EB17" s="193"/>
      <c r="EC17" s="193"/>
      <c r="ED17" s="193"/>
      <c r="EE17" s="193"/>
      <c r="EF17" s="193"/>
      <c r="EG17" s="193"/>
      <c r="EH17" s="193"/>
      <c r="EI17" s="193"/>
      <c r="EJ17" s="193"/>
      <c r="EK17" s="193"/>
      <c r="EL17" s="193"/>
      <c r="EM17" s="193"/>
      <c r="EN17" s="193"/>
      <c r="EO17" s="193"/>
      <c r="EP17" s="193"/>
      <c r="EQ17" s="193"/>
      <c r="ER17" s="193"/>
      <c r="ES17" s="193"/>
      <c r="ET17" s="193"/>
      <c r="EU17" s="193"/>
      <c r="EV17" s="193"/>
      <c r="EW17" s="193"/>
      <c r="EX17" s="193"/>
      <c r="EY17" s="193"/>
      <c r="EZ17" s="193"/>
      <c r="FA17" s="193"/>
      <c r="FB17" s="193"/>
      <c r="FC17" s="193"/>
      <c r="FD17" s="193"/>
      <c r="FE17" s="193"/>
      <c r="FF17" s="193"/>
      <c r="FG17" s="193"/>
      <c r="FH17" s="193"/>
      <c r="FI17" s="193"/>
      <c r="FJ17" s="193"/>
      <c r="FK17" s="193"/>
      <c r="FL17" s="193"/>
      <c r="FM17" s="193"/>
      <c r="FN17" s="193"/>
      <c r="FO17" s="193"/>
      <c r="FP17" s="193"/>
      <c r="FQ17" s="193"/>
      <c r="FR17" s="193"/>
      <c r="FS17" s="193"/>
      <c r="FT17" s="193"/>
      <c r="FU17" s="193"/>
      <c r="FV17" s="193"/>
      <c r="FW17" s="193"/>
      <c r="FX17" s="193"/>
      <c r="FY17" s="193"/>
      <c r="FZ17" s="193"/>
      <c r="GA17" s="193"/>
      <c r="GB17" s="193"/>
      <c r="GC17" s="193"/>
      <c r="GD17" s="193"/>
      <c r="GE17" s="193"/>
      <c r="GF17" s="193"/>
      <c r="GG17" s="193"/>
      <c r="GH17" s="193"/>
      <c r="GI17" s="193"/>
      <c r="GJ17" s="193"/>
      <c r="GK17" s="193"/>
      <c r="GL17" s="193"/>
      <c r="GM17" s="193"/>
      <c r="GN17" s="193"/>
      <c r="GO17" s="193"/>
      <c r="GP17" s="193"/>
      <c r="GQ17" s="193"/>
      <c r="GR17" s="193"/>
      <c r="GS17" s="193"/>
      <c r="GT17" s="193"/>
      <c r="GU17" s="193"/>
      <c r="GV17" s="193"/>
      <c r="GW17" s="193"/>
      <c r="GX17" s="193"/>
      <c r="GY17" s="193"/>
      <c r="GZ17" s="193"/>
      <c r="HA17" s="193"/>
      <c r="HB17" s="193"/>
      <c r="HC17" s="193"/>
      <c r="HD17" s="193"/>
      <c r="HE17" s="193"/>
      <c r="HF17" s="193"/>
      <c r="HG17" s="193"/>
      <c r="HH17" s="193"/>
      <c r="HI17" s="193"/>
      <c r="HJ17" s="193"/>
      <c r="HK17" s="193"/>
      <c r="HL17" s="193"/>
      <c r="HM17" s="193"/>
      <c r="HN17" s="193"/>
      <c r="HO17" s="193"/>
      <c r="HP17" s="193"/>
      <c r="HQ17" s="193"/>
      <c r="HR17" s="193"/>
      <c r="HS17" s="193"/>
      <c r="HT17" s="193"/>
      <c r="HU17" s="193"/>
      <c r="HV17" s="193"/>
      <c r="HW17" s="193"/>
      <c r="HX17" s="193"/>
      <c r="HY17" s="193"/>
      <c r="HZ17" s="193"/>
      <c r="IA17" s="193"/>
      <c r="IB17" s="193"/>
      <c r="IC17" s="193"/>
      <c r="ID17" s="193"/>
      <c r="IE17" s="193"/>
      <c r="IF17" s="193"/>
      <c r="IG17" s="193"/>
      <c r="IH17" s="193"/>
      <c r="II17" s="193"/>
      <c r="IJ17" s="193"/>
      <c r="IK17" s="193"/>
      <c r="IL17" s="193"/>
      <c r="IM17" s="193"/>
      <c r="IN17" s="193"/>
      <c r="IO17" s="193"/>
      <c r="IP17" s="193"/>
      <c r="IQ17" s="193"/>
      <c r="IR17" s="193"/>
      <c r="IS17" s="193"/>
      <c r="IT17" s="193"/>
      <c r="IU17" s="193"/>
      <c r="IV17" s="193"/>
    </row>
    <row r="18" spans="1:256" customFormat="1" ht="21" customHeight="1">
      <c r="A18" s="33" t="s">
        <v>935</v>
      </c>
      <c r="B18" s="199">
        <v>5000</v>
      </c>
      <c r="C18" s="46">
        <v>7150</v>
      </c>
      <c r="D18" s="198">
        <f t="shared" si="2"/>
        <v>43</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c r="BW18" s="193"/>
      <c r="BX18" s="193"/>
      <c r="BY18" s="193"/>
      <c r="BZ18" s="193"/>
      <c r="CA18" s="193"/>
      <c r="CB18" s="193"/>
      <c r="CC18" s="193"/>
      <c r="CD18" s="193"/>
      <c r="CE18" s="193"/>
      <c r="CF18" s="193"/>
      <c r="CG18" s="193"/>
      <c r="CH18" s="193"/>
      <c r="CI18" s="193"/>
      <c r="CJ18" s="193"/>
      <c r="CK18" s="193"/>
      <c r="CL18" s="193"/>
      <c r="CM18" s="193"/>
      <c r="CN18" s="193"/>
      <c r="CO18" s="193"/>
      <c r="CP18" s="193"/>
      <c r="CQ18" s="193"/>
      <c r="CR18" s="193"/>
      <c r="CS18" s="193"/>
      <c r="CT18" s="193"/>
      <c r="CU18" s="193"/>
      <c r="CV18" s="193"/>
      <c r="CW18" s="193"/>
      <c r="CX18" s="193"/>
      <c r="CY18" s="193"/>
      <c r="CZ18" s="193"/>
      <c r="DA18" s="193"/>
      <c r="DB18" s="193"/>
      <c r="DC18" s="193"/>
      <c r="DD18" s="193"/>
      <c r="DE18" s="193"/>
      <c r="DF18" s="193"/>
      <c r="DG18" s="193"/>
      <c r="DH18" s="193"/>
      <c r="DI18" s="193"/>
      <c r="DJ18" s="193"/>
      <c r="DK18" s="193"/>
      <c r="DL18" s="193"/>
      <c r="DM18" s="193"/>
      <c r="DN18" s="193"/>
      <c r="DO18" s="193"/>
      <c r="DP18" s="193"/>
      <c r="DQ18" s="193"/>
      <c r="DR18" s="193"/>
      <c r="DS18" s="193"/>
      <c r="DT18" s="193"/>
      <c r="DU18" s="193"/>
      <c r="DV18" s="193"/>
      <c r="DW18" s="193"/>
      <c r="DX18" s="193"/>
      <c r="DY18" s="193"/>
      <c r="DZ18" s="193"/>
      <c r="EA18" s="193"/>
      <c r="EB18" s="193"/>
      <c r="EC18" s="193"/>
      <c r="ED18" s="193"/>
      <c r="EE18" s="193"/>
      <c r="EF18" s="193"/>
      <c r="EG18" s="193"/>
      <c r="EH18" s="193"/>
      <c r="EI18" s="193"/>
      <c r="EJ18" s="193"/>
      <c r="EK18" s="193"/>
      <c r="EL18" s="193"/>
      <c r="EM18" s="193"/>
      <c r="EN18" s="193"/>
      <c r="EO18" s="193"/>
      <c r="EP18" s="193"/>
      <c r="EQ18" s="193"/>
      <c r="ER18" s="193"/>
      <c r="ES18" s="193"/>
      <c r="ET18" s="193"/>
      <c r="EU18" s="193"/>
      <c r="EV18" s="193"/>
      <c r="EW18" s="193"/>
      <c r="EX18" s="193"/>
      <c r="EY18" s="193"/>
      <c r="EZ18" s="193"/>
      <c r="FA18" s="193"/>
      <c r="FB18" s="193"/>
      <c r="FC18" s="193"/>
      <c r="FD18" s="193"/>
      <c r="FE18" s="193"/>
      <c r="FF18" s="193"/>
      <c r="FG18" s="193"/>
      <c r="FH18" s="193"/>
      <c r="FI18" s="193"/>
      <c r="FJ18" s="193"/>
      <c r="FK18" s="193"/>
      <c r="FL18" s="193"/>
      <c r="FM18" s="193"/>
      <c r="FN18" s="193"/>
      <c r="FO18" s="193"/>
      <c r="FP18" s="193"/>
      <c r="FQ18" s="193"/>
      <c r="FR18" s="193"/>
      <c r="FS18" s="193"/>
      <c r="FT18" s="193"/>
      <c r="FU18" s="193"/>
      <c r="FV18" s="193"/>
      <c r="FW18" s="193"/>
      <c r="FX18" s="193"/>
      <c r="FY18" s="193"/>
      <c r="FZ18" s="193"/>
      <c r="GA18" s="193"/>
      <c r="GB18" s="193"/>
      <c r="GC18" s="193"/>
      <c r="GD18" s="193"/>
      <c r="GE18" s="193"/>
      <c r="GF18" s="193"/>
      <c r="GG18" s="193"/>
      <c r="GH18" s="193"/>
      <c r="GI18" s="193"/>
      <c r="GJ18" s="193"/>
      <c r="GK18" s="193"/>
      <c r="GL18" s="193"/>
      <c r="GM18" s="193"/>
      <c r="GN18" s="193"/>
      <c r="GO18" s="193"/>
      <c r="GP18" s="193"/>
      <c r="GQ18" s="193"/>
      <c r="GR18" s="193"/>
      <c r="GS18" s="193"/>
      <c r="GT18" s="193"/>
      <c r="GU18" s="193"/>
      <c r="GV18" s="193"/>
      <c r="GW18" s="193"/>
      <c r="GX18" s="193"/>
      <c r="GY18" s="193"/>
      <c r="GZ18" s="193"/>
      <c r="HA18" s="193"/>
      <c r="HB18" s="193"/>
      <c r="HC18" s="193"/>
      <c r="HD18" s="193"/>
      <c r="HE18" s="193"/>
      <c r="HF18" s="193"/>
      <c r="HG18" s="193"/>
      <c r="HH18" s="193"/>
      <c r="HI18" s="193"/>
      <c r="HJ18" s="193"/>
      <c r="HK18" s="193"/>
      <c r="HL18" s="193"/>
      <c r="HM18" s="193"/>
      <c r="HN18" s="193"/>
      <c r="HO18" s="193"/>
      <c r="HP18" s="193"/>
      <c r="HQ18" s="193"/>
      <c r="HR18" s="193"/>
      <c r="HS18" s="193"/>
      <c r="HT18" s="193"/>
      <c r="HU18" s="193"/>
      <c r="HV18" s="193"/>
      <c r="HW18" s="193"/>
      <c r="HX18" s="193"/>
      <c r="HY18" s="193"/>
      <c r="HZ18" s="193"/>
      <c r="IA18" s="193"/>
      <c r="IB18" s="193"/>
      <c r="IC18" s="193"/>
      <c r="ID18" s="193"/>
      <c r="IE18" s="193"/>
      <c r="IF18" s="193"/>
      <c r="IG18" s="193"/>
      <c r="IH18" s="193"/>
      <c r="II18" s="193"/>
      <c r="IJ18" s="193"/>
      <c r="IK18" s="193"/>
      <c r="IL18" s="193"/>
      <c r="IM18" s="193"/>
      <c r="IN18" s="193"/>
      <c r="IO18" s="193"/>
      <c r="IP18" s="193"/>
      <c r="IQ18" s="193"/>
      <c r="IR18" s="193"/>
      <c r="IS18" s="193"/>
      <c r="IT18" s="193"/>
      <c r="IU18" s="193"/>
      <c r="IV18" s="193"/>
    </row>
    <row r="19" spans="1:256" customFormat="1" ht="21" customHeight="1">
      <c r="A19" s="32" t="s">
        <v>936</v>
      </c>
      <c r="B19" s="199">
        <v>4456</v>
      </c>
      <c r="C19" s="46">
        <f t="shared" ref="C19" si="3">+C20</f>
        <v>3200</v>
      </c>
      <c r="D19" s="198">
        <f t="shared" si="2"/>
        <v>-28.186714542190305</v>
      </c>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3"/>
      <c r="BA19" s="193"/>
      <c r="BB19" s="193"/>
      <c r="BC19" s="193"/>
      <c r="BD19" s="193"/>
      <c r="BE19" s="193"/>
      <c r="BF19" s="193"/>
      <c r="BG19" s="193"/>
      <c r="BH19" s="193"/>
      <c r="BI19" s="193"/>
      <c r="BJ19" s="193"/>
      <c r="BK19" s="193"/>
      <c r="BL19" s="193"/>
      <c r="BM19" s="193"/>
      <c r="BN19" s="193"/>
      <c r="BO19" s="193"/>
      <c r="BP19" s="193"/>
      <c r="BQ19" s="193"/>
      <c r="BR19" s="193"/>
      <c r="BS19" s="193"/>
      <c r="BT19" s="193"/>
      <c r="BU19" s="193"/>
      <c r="BV19" s="193"/>
      <c r="BW19" s="193"/>
      <c r="BX19" s="193"/>
      <c r="BY19" s="193"/>
      <c r="BZ19" s="193"/>
      <c r="CA19" s="193"/>
      <c r="CB19" s="193"/>
      <c r="CC19" s="193"/>
      <c r="CD19" s="193"/>
      <c r="CE19" s="193"/>
      <c r="CF19" s="193"/>
      <c r="CG19" s="193"/>
      <c r="CH19" s="193"/>
      <c r="CI19" s="193"/>
      <c r="CJ19" s="193"/>
      <c r="CK19" s="193"/>
      <c r="CL19" s="193"/>
      <c r="CM19" s="193"/>
      <c r="CN19" s="193"/>
      <c r="CO19" s="193"/>
      <c r="CP19" s="193"/>
      <c r="CQ19" s="193"/>
      <c r="CR19" s="193"/>
      <c r="CS19" s="193"/>
      <c r="CT19" s="193"/>
      <c r="CU19" s="193"/>
      <c r="CV19" s="193"/>
      <c r="CW19" s="193"/>
      <c r="CX19" s="193"/>
      <c r="CY19" s="193"/>
      <c r="CZ19" s="193"/>
      <c r="DA19" s="193"/>
      <c r="DB19" s="193"/>
      <c r="DC19" s="193"/>
      <c r="DD19" s="193"/>
      <c r="DE19" s="193"/>
      <c r="DF19" s="193"/>
      <c r="DG19" s="193"/>
      <c r="DH19" s="193"/>
      <c r="DI19" s="193"/>
      <c r="DJ19" s="193"/>
      <c r="DK19" s="193"/>
      <c r="DL19" s="193"/>
      <c r="DM19" s="193"/>
      <c r="DN19" s="193"/>
      <c r="DO19" s="193"/>
      <c r="DP19" s="193"/>
      <c r="DQ19" s="193"/>
      <c r="DR19" s="193"/>
      <c r="DS19" s="193"/>
      <c r="DT19" s="193"/>
      <c r="DU19" s="193"/>
      <c r="DV19" s="193"/>
      <c r="DW19" s="193"/>
      <c r="DX19" s="193"/>
      <c r="DY19" s="193"/>
      <c r="DZ19" s="193"/>
      <c r="EA19" s="193"/>
      <c r="EB19" s="193"/>
      <c r="EC19" s="193"/>
      <c r="ED19" s="193"/>
      <c r="EE19" s="193"/>
      <c r="EF19" s="193"/>
      <c r="EG19" s="193"/>
      <c r="EH19" s="193"/>
      <c r="EI19" s="193"/>
      <c r="EJ19" s="193"/>
      <c r="EK19" s="193"/>
      <c r="EL19" s="193"/>
      <c r="EM19" s="193"/>
      <c r="EN19" s="193"/>
      <c r="EO19" s="193"/>
      <c r="EP19" s="193"/>
      <c r="EQ19" s="193"/>
      <c r="ER19" s="193"/>
      <c r="ES19" s="193"/>
      <c r="ET19" s="193"/>
      <c r="EU19" s="193"/>
      <c r="EV19" s="193"/>
      <c r="EW19" s="193"/>
      <c r="EX19" s="193"/>
      <c r="EY19" s="193"/>
      <c r="EZ19" s="193"/>
      <c r="FA19" s="193"/>
      <c r="FB19" s="193"/>
      <c r="FC19" s="193"/>
      <c r="FD19" s="193"/>
      <c r="FE19" s="193"/>
      <c r="FF19" s="193"/>
      <c r="FG19" s="193"/>
      <c r="FH19" s="193"/>
      <c r="FI19" s="193"/>
      <c r="FJ19" s="193"/>
      <c r="FK19" s="193"/>
      <c r="FL19" s="193"/>
      <c r="FM19" s="193"/>
      <c r="FN19" s="193"/>
      <c r="FO19" s="193"/>
      <c r="FP19" s="193"/>
      <c r="FQ19" s="193"/>
      <c r="FR19" s="193"/>
      <c r="FS19" s="193"/>
      <c r="FT19" s="193"/>
      <c r="FU19" s="193"/>
      <c r="FV19" s="193"/>
      <c r="FW19" s="193"/>
      <c r="FX19" s="193"/>
      <c r="FY19" s="193"/>
      <c r="FZ19" s="193"/>
      <c r="GA19" s="193"/>
      <c r="GB19" s="193"/>
      <c r="GC19" s="193"/>
      <c r="GD19" s="193"/>
      <c r="GE19" s="193"/>
      <c r="GF19" s="193"/>
      <c r="GG19" s="193"/>
      <c r="GH19" s="193"/>
      <c r="GI19" s="193"/>
      <c r="GJ19" s="193"/>
      <c r="GK19" s="193"/>
      <c r="GL19" s="193"/>
      <c r="GM19" s="193"/>
      <c r="GN19" s="193"/>
      <c r="GO19" s="193"/>
      <c r="GP19" s="193"/>
      <c r="GQ19" s="193"/>
      <c r="GR19" s="193"/>
      <c r="GS19" s="193"/>
      <c r="GT19" s="193"/>
      <c r="GU19" s="193"/>
      <c r="GV19" s="193"/>
      <c r="GW19" s="193"/>
      <c r="GX19" s="193"/>
      <c r="GY19" s="193"/>
      <c r="GZ19" s="193"/>
      <c r="HA19" s="193"/>
      <c r="HB19" s="193"/>
      <c r="HC19" s="193"/>
      <c r="HD19" s="193"/>
      <c r="HE19" s="193"/>
      <c r="HF19" s="193"/>
      <c r="HG19" s="193"/>
      <c r="HH19" s="193"/>
      <c r="HI19" s="193"/>
      <c r="HJ19" s="193"/>
      <c r="HK19" s="193"/>
      <c r="HL19" s="193"/>
      <c r="HM19" s="193"/>
      <c r="HN19" s="193"/>
      <c r="HO19" s="193"/>
      <c r="HP19" s="193"/>
      <c r="HQ19" s="193"/>
      <c r="HR19" s="193"/>
      <c r="HS19" s="193"/>
      <c r="HT19" s="193"/>
      <c r="HU19" s="193"/>
      <c r="HV19" s="193"/>
      <c r="HW19" s="193"/>
      <c r="HX19" s="193"/>
      <c r="HY19" s="193"/>
      <c r="HZ19" s="193"/>
      <c r="IA19" s="193"/>
      <c r="IB19" s="193"/>
      <c r="IC19" s="193"/>
      <c r="ID19" s="193"/>
      <c r="IE19" s="193"/>
      <c r="IF19" s="193"/>
      <c r="IG19" s="193"/>
      <c r="IH19" s="193"/>
      <c r="II19" s="193"/>
      <c r="IJ19" s="193"/>
      <c r="IK19" s="193"/>
      <c r="IL19" s="193"/>
      <c r="IM19" s="193"/>
      <c r="IN19" s="193"/>
      <c r="IO19" s="193"/>
      <c r="IP19" s="193"/>
      <c r="IQ19" s="193"/>
      <c r="IR19" s="193"/>
      <c r="IS19" s="193"/>
      <c r="IT19" s="193"/>
      <c r="IU19" s="193"/>
      <c r="IV19" s="193"/>
    </row>
    <row r="20" spans="1:256" customFormat="1" ht="21" customHeight="1">
      <c r="A20" s="201" t="s">
        <v>937</v>
      </c>
      <c r="B20" s="202">
        <v>4456</v>
      </c>
      <c r="C20" s="203">
        <v>3200</v>
      </c>
      <c r="D20" s="200">
        <f t="shared" si="2"/>
        <v>-28.186714542190305</v>
      </c>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3"/>
      <c r="BW20" s="193"/>
      <c r="BX20" s="193"/>
      <c r="BY20" s="193"/>
      <c r="BZ20" s="193"/>
      <c r="CA20" s="193"/>
      <c r="CB20" s="193"/>
      <c r="CC20" s="193"/>
      <c r="CD20" s="193"/>
      <c r="CE20" s="193"/>
      <c r="CF20" s="193"/>
      <c r="CG20" s="193"/>
      <c r="CH20" s="193"/>
      <c r="CI20" s="193"/>
      <c r="CJ20" s="193"/>
      <c r="CK20" s="193"/>
      <c r="CL20" s="193"/>
      <c r="CM20" s="193"/>
      <c r="CN20" s="193"/>
      <c r="CO20" s="193"/>
      <c r="CP20" s="193"/>
      <c r="CQ20" s="193"/>
      <c r="CR20" s="193"/>
      <c r="CS20" s="193"/>
      <c r="CT20" s="193"/>
      <c r="CU20" s="193"/>
      <c r="CV20" s="193"/>
      <c r="CW20" s="193"/>
      <c r="CX20" s="193"/>
      <c r="CY20" s="193"/>
      <c r="CZ20" s="193"/>
      <c r="DA20" s="193"/>
      <c r="DB20" s="193"/>
      <c r="DC20" s="193"/>
      <c r="DD20" s="193"/>
      <c r="DE20" s="193"/>
      <c r="DF20" s="193"/>
      <c r="DG20" s="193"/>
      <c r="DH20" s="193"/>
      <c r="DI20" s="193"/>
      <c r="DJ20" s="193"/>
      <c r="DK20" s="193"/>
      <c r="DL20" s="193"/>
      <c r="DM20" s="193"/>
      <c r="DN20" s="193"/>
      <c r="DO20" s="193"/>
      <c r="DP20" s="193"/>
      <c r="DQ20" s="193"/>
      <c r="DR20" s="193"/>
      <c r="DS20" s="193"/>
      <c r="DT20" s="193"/>
      <c r="DU20" s="193"/>
      <c r="DV20" s="193"/>
      <c r="DW20" s="193"/>
      <c r="DX20" s="193"/>
      <c r="DY20" s="193"/>
      <c r="DZ20" s="193"/>
      <c r="EA20" s="193"/>
      <c r="EB20" s="193"/>
      <c r="EC20" s="193"/>
      <c r="ED20" s="193"/>
      <c r="EE20" s="193"/>
      <c r="EF20" s="193"/>
      <c r="EG20" s="193"/>
      <c r="EH20" s="193"/>
      <c r="EI20" s="193"/>
      <c r="EJ20" s="193"/>
      <c r="EK20" s="193"/>
      <c r="EL20" s="193"/>
      <c r="EM20" s="193"/>
      <c r="EN20" s="193"/>
      <c r="EO20" s="193"/>
      <c r="EP20" s="193"/>
      <c r="EQ20" s="193"/>
      <c r="ER20" s="193"/>
      <c r="ES20" s="193"/>
      <c r="ET20" s="193"/>
      <c r="EU20" s="193"/>
      <c r="EV20" s="193"/>
      <c r="EW20" s="193"/>
      <c r="EX20" s="193"/>
      <c r="EY20" s="193"/>
      <c r="EZ20" s="193"/>
      <c r="FA20" s="193"/>
      <c r="FB20" s="193"/>
      <c r="FC20" s="193"/>
      <c r="FD20" s="193"/>
      <c r="FE20" s="193"/>
      <c r="FF20" s="193"/>
      <c r="FG20" s="193"/>
      <c r="FH20" s="193"/>
      <c r="FI20" s="193"/>
      <c r="FJ20" s="193"/>
      <c r="FK20" s="193"/>
      <c r="FL20" s="193"/>
      <c r="FM20" s="193"/>
      <c r="FN20" s="193"/>
      <c r="FO20" s="193"/>
      <c r="FP20" s="193"/>
      <c r="FQ20" s="193"/>
      <c r="FR20" s="193"/>
      <c r="FS20" s="193"/>
      <c r="FT20" s="193"/>
      <c r="FU20" s="193"/>
      <c r="FV20" s="193"/>
      <c r="FW20" s="193"/>
      <c r="FX20" s="193"/>
      <c r="FY20" s="193"/>
      <c r="FZ20" s="193"/>
      <c r="GA20" s="193"/>
      <c r="GB20" s="193"/>
      <c r="GC20" s="193"/>
      <c r="GD20" s="193"/>
      <c r="GE20" s="193"/>
      <c r="GF20" s="193"/>
      <c r="GG20" s="193"/>
      <c r="GH20" s="193"/>
      <c r="GI20" s="193"/>
      <c r="GJ20" s="193"/>
      <c r="GK20" s="193"/>
      <c r="GL20" s="193"/>
      <c r="GM20" s="193"/>
      <c r="GN20" s="193"/>
      <c r="GO20" s="193"/>
      <c r="GP20" s="193"/>
      <c r="GQ20" s="193"/>
      <c r="GR20" s="193"/>
      <c r="GS20" s="193"/>
      <c r="GT20" s="193"/>
      <c r="GU20" s="193"/>
      <c r="GV20" s="193"/>
      <c r="GW20" s="193"/>
      <c r="GX20" s="193"/>
      <c r="GY20" s="193"/>
      <c r="GZ20" s="193"/>
      <c r="HA20" s="193"/>
      <c r="HB20" s="193"/>
      <c r="HC20" s="193"/>
      <c r="HD20" s="193"/>
      <c r="HE20" s="193"/>
      <c r="HF20" s="193"/>
      <c r="HG20" s="193"/>
      <c r="HH20" s="193"/>
      <c r="HI20" s="193"/>
      <c r="HJ20" s="193"/>
      <c r="HK20" s="193"/>
      <c r="HL20" s="193"/>
      <c r="HM20" s="193"/>
      <c r="HN20" s="193"/>
      <c r="HO20" s="193"/>
      <c r="HP20" s="193"/>
      <c r="HQ20" s="193"/>
      <c r="HR20" s="193"/>
      <c r="HS20" s="193"/>
      <c r="HT20" s="193"/>
      <c r="HU20" s="193"/>
      <c r="HV20" s="193"/>
      <c r="HW20" s="193"/>
      <c r="HX20" s="193"/>
      <c r="HY20" s="193"/>
      <c r="HZ20" s="193"/>
      <c r="IA20" s="193"/>
      <c r="IB20" s="193"/>
      <c r="IC20" s="193"/>
      <c r="ID20" s="193"/>
      <c r="IE20" s="193"/>
      <c r="IF20" s="193"/>
      <c r="IG20" s="193"/>
      <c r="IH20" s="193"/>
      <c r="II20" s="193"/>
      <c r="IJ20" s="193"/>
      <c r="IK20" s="193"/>
      <c r="IL20" s="193"/>
      <c r="IM20" s="193"/>
      <c r="IN20" s="193"/>
      <c r="IO20" s="193"/>
      <c r="IP20" s="193"/>
      <c r="IQ20" s="193"/>
      <c r="IR20" s="193"/>
      <c r="IS20" s="193"/>
      <c r="IT20" s="193"/>
      <c r="IU20" s="193"/>
      <c r="IV20" s="193"/>
    </row>
    <row r="21" spans="1:256" customFormat="1" ht="21" customHeight="1">
      <c r="A21" s="35" t="s">
        <v>938</v>
      </c>
      <c r="B21" s="204">
        <f>+B22</f>
        <v>0</v>
      </c>
      <c r="C21" s="23">
        <f>+C22</f>
        <v>0</v>
      </c>
      <c r="D21" s="198"/>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c r="BD21" s="193"/>
      <c r="BE21" s="193"/>
      <c r="BF21" s="193"/>
      <c r="BG21" s="193"/>
      <c r="BH21" s="193"/>
      <c r="BI21" s="193"/>
      <c r="BJ21" s="193"/>
      <c r="BK21" s="193"/>
      <c r="BL21" s="193"/>
      <c r="BM21" s="193"/>
      <c r="BN21" s="193"/>
      <c r="BO21" s="193"/>
      <c r="BP21" s="193"/>
      <c r="BQ21" s="193"/>
      <c r="BR21" s="193"/>
      <c r="BS21" s="193"/>
      <c r="BT21" s="193"/>
      <c r="BU21" s="193"/>
      <c r="BV21" s="193"/>
      <c r="BW21" s="193"/>
      <c r="BX21" s="193"/>
      <c r="BY21" s="193"/>
      <c r="BZ21" s="193"/>
      <c r="CA21" s="193"/>
      <c r="CB21" s="193"/>
      <c r="CC21" s="193"/>
      <c r="CD21" s="193"/>
      <c r="CE21" s="193"/>
      <c r="CF21" s="193"/>
      <c r="CG21" s="193"/>
      <c r="CH21" s="193"/>
      <c r="CI21" s="193"/>
      <c r="CJ21" s="193"/>
      <c r="CK21" s="193"/>
      <c r="CL21" s="193"/>
      <c r="CM21" s="193"/>
      <c r="CN21" s="193"/>
      <c r="CO21" s="193"/>
      <c r="CP21" s="193"/>
      <c r="CQ21" s="193"/>
      <c r="CR21" s="193"/>
      <c r="CS21" s="193"/>
      <c r="CT21" s="193"/>
      <c r="CU21" s="193"/>
      <c r="CV21" s="193"/>
      <c r="CW21" s="193"/>
      <c r="CX21" s="193"/>
      <c r="CY21" s="193"/>
      <c r="CZ21" s="193"/>
      <c r="DA21" s="193"/>
      <c r="DB21" s="193"/>
      <c r="DC21" s="193"/>
      <c r="DD21" s="193"/>
      <c r="DE21" s="193"/>
      <c r="DF21" s="193"/>
      <c r="DG21" s="193"/>
      <c r="DH21" s="193"/>
      <c r="DI21" s="193"/>
      <c r="DJ21" s="193"/>
      <c r="DK21" s="193"/>
      <c r="DL21" s="193"/>
      <c r="DM21" s="193"/>
      <c r="DN21" s="193"/>
      <c r="DO21" s="193"/>
      <c r="DP21" s="193"/>
      <c r="DQ21" s="193"/>
      <c r="DR21" s="193"/>
      <c r="DS21" s="193"/>
      <c r="DT21" s="193"/>
      <c r="DU21" s="193"/>
      <c r="DV21" s="193"/>
      <c r="DW21" s="193"/>
      <c r="DX21" s="193"/>
      <c r="DY21" s="193"/>
      <c r="DZ21" s="193"/>
      <c r="EA21" s="193"/>
      <c r="EB21" s="193"/>
      <c r="EC21" s="193"/>
      <c r="ED21" s="193"/>
      <c r="EE21" s="193"/>
      <c r="EF21" s="193"/>
      <c r="EG21" s="193"/>
      <c r="EH21" s="193"/>
      <c r="EI21" s="193"/>
      <c r="EJ21" s="193"/>
      <c r="EK21" s="193"/>
      <c r="EL21" s="193"/>
      <c r="EM21" s="193"/>
      <c r="EN21" s="193"/>
      <c r="EO21" s="193"/>
      <c r="EP21" s="193"/>
      <c r="EQ21" s="193"/>
      <c r="ER21" s="193"/>
      <c r="ES21" s="193"/>
      <c r="ET21" s="193"/>
      <c r="EU21" s="193"/>
      <c r="EV21" s="193"/>
      <c r="EW21" s="193"/>
      <c r="EX21" s="193"/>
      <c r="EY21" s="193"/>
      <c r="EZ21" s="193"/>
      <c r="FA21" s="193"/>
      <c r="FB21" s="193"/>
      <c r="FC21" s="193"/>
      <c r="FD21" s="193"/>
      <c r="FE21" s="193"/>
      <c r="FF21" s="193"/>
      <c r="FG21" s="193"/>
      <c r="FH21" s="193"/>
      <c r="FI21" s="193"/>
      <c r="FJ21" s="193"/>
      <c r="FK21" s="193"/>
      <c r="FL21" s="193"/>
      <c r="FM21" s="193"/>
      <c r="FN21" s="193"/>
      <c r="FO21" s="193"/>
      <c r="FP21" s="193"/>
      <c r="FQ21" s="193"/>
      <c r="FR21" s="193"/>
      <c r="FS21" s="193"/>
      <c r="FT21" s="193"/>
      <c r="FU21" s="193"/>
      <c r="FV21" s="193"/>
      <c r="FW21" s="193"/>
      <c r="FX21" s="193"/>
      <c r="FY21" s="193"/>
      <c r="FZ21" s="193"/>
      <c r="GA21" s="193"/>
      <c r="GB21" s="193"/>
      <c r="GC21" s="193"/>
      <c r="GD21" s="193"/>
      <c r="GE21" s="193"/>
      <c r="GF21" s="193"/>
      <c r="GG21" s="193"/>
      <c r="GH21" s="193"/>
      <c r="GI21" s="193"/>
      <c r="GJ21" s="193"/>
      <c r="GK21" s="193"/>
      <c r="GL21" s="193"/>
      <c r="GM21" s="193"/>
      <c r="GN21" s="193"/>
      <c r="GO21" s="193"/>
      <c r="GP21" s="193"/>
      <c r="GQ21" s="193"/>
      <c r="GR21" s="193"/>
      <c r="GS21" s="193"/>
      <c r="GT21" s="193"/>
      <c r="GU21" s="193"/>
      <c r="GV21" s="193"/>
      <c r="GW21" s="193"/>
      <c r="GX21" s="193"/>
      <c r="GY21" s="193"/>
      <c r="GZ21" s="193"/>
      <c r="HA21" s="193"/>
      <c r="HB21" s="193"/>
      <c r="HC21" s="193"/>
      <c r="HD21" s="193"/>
      <c r="HE21" s="193"/>
      <c r="HF21" s="193"/>
      <c r="HG21" s="193"/>
      <c r="HH21" s="193"/>
      <c r="HI21" s="193"/>
      <c r="HJ21" s="193"/>
      <c r="HK21" s="193"/>
      <c r="HL21" s="193"/>
      <c r="HM21" s="193"/>
      <c r="HN21" s="193"/>
      <c r="HO21" s="193"/>
      <c r="HP21" s="193"/>
      <c r="HQ21" s="193"/>
      <c r="HR21" s="193"/>
      <c r="HS21" s="193"/>
      <c r="HT21" s="193"/>
      <c r="HU21" s="193"/>
      <c r="HV21" s="193"/>
      <c r="HW21" s="193"/>
      <c r="HX21" s="193"/>
      <c r="HY21" s="193"/>
      <c r="HZ21" s="193"/>
      <c r="IA21" s="193"/>
      <c r="IB21" s="193"/>
      <c r="IC21" s="193"/>
      <c r="ID21" s="193"/>
      <c r="IE21" s="193"/>
      <c r="IF21" s="193"/>
      <c r="IG21" s="193"/>
      <c r="IH21" s="193"/>
      <c r="II21" s="193"/>
      <c r="IJ21" s="193"/>
      <c r="IK21" s="193"/>
      <c r="IL21" s="193"/>
      <c r="IM21" s="193"/>
      <c r="IN21" s="193"/>
      <c r="IO21" s="193"/>
      <c r="IP21" s="193"/>
      <c r="IQ21" s="193"/>
      <c r="IR21" s="193"/>
      <c r="IS21" s="193"/>
      <c r="IT21" s="193"/>
      <c r="IU21" s="193"/>
      <c r="IV21" s="193"/>
    </row>
    <row r="22" spans="1:256" customFormat="1" ht="21" customHeight="1">
      <c r="A22" s="36" t="s">
        <v>939</v>
      </c>
      <c r="B22" s="204"/>
      <c r="C22" s="36"/>
      <c r="D22" s="36"/>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3"/>
      <c r="CE22" s="193"/>
      <c r="CF22" s="193"/>
      <c r="CG22" s="193"/>
      <c r="CH22" s="193"/>
      <c r="CI22" s="193"/>
      <c r="CJ22" s="193"/>
      <c r="CK22" s="193"/>
      <c r="CL22" s="193"/>
      <c r="CM22" s="193"/>
      <c r="CN22" s="193"/>
      <c r="CO22" s="193"/>
      <c r="CP22" s="193"/>
      <c r="CQ22" s="193"/>
      <c r="CR22" s="193"/>
      <c r="CS22" s="193"/>
      <c r="CT22" s="193"/>
      <c r="CU22" s="193"/>
      <c r="CV22" s="193"/>
      <c r="CW22" s="193"/>
      <c r="CX22" s="193"/>
      <c r="CY22" s="193"/>
      <c r="CZ22" s="193"/>
      <c r="DA22" s="193"/>
      <c r="DB22" s="193"/>
      <c r="DC22" s="193"/>
      <c r="DD22" s="193"/>
      <c r="DE22" s="193"/>
      <c r="DF22" s="193"/>
      <c r="DG22" s="193"/>
      <c r="DH22" s="193"/>
      <c r="DI22" s="193"/>
      <c r="DJ22" s="193"/>
      <c r="DK22" s="193"/>
      <c r="DL22" s="193"/>
      <c r="DM22" s="193"/>
      <c r="DN22" s="193"/>
      <c r="DO22" s="193"/>
      <c r="DP22" s="193"/>
      <c r="DQ22" s="193"/>
      <c r="DR22" s="193"/>
      <c r="DS22" s="193"/>
      <c r="DT22" s="193"/>
      <c r="DU22" s="193"/>
      <c r="DV22" s="193"/>
      <c r="DW22" s="193"/>
      <c r="DX22" s="193"/>
      <c r="DY22" s="193"/>
      <c r="DZ22" s="193"/>
      <c r="EA22" s="193"/>
      <c r="EB22" s="193"/>
      <c r="EC22" s="193"/>
      <c r="ED22" s="193"/>
      <c r="EE22" s="193"/>
      <c r="EF22" s="193"/>
      <c r="EG22" s="193"/>
      <c r="EH22" s="193"/>
      <c r="EI22" s="193"/>
      <c r="EJ22" s="193"/>
      <c r="EK22" s="193"/>
      <c r="EL22" s="193"/>
      <c r="EM22" s="193"/>
      <c r="EN22" s="193"/>
      <c r="EO22" s="193"/>
      <c r="EP22" s="193"/>
      <c r="EQ22" s="193"/>
      <c r="ER22" s="193"/>
      <c r="ES22" s="193"/>
      <c r="ET22" s="193"/>
      <c r="EU22" s="193"/>
      <c r="EV22" s="193"/>
      <c r="EW22" s="193"/>
      <c r="EX22" s="193"/>
      <c r="EY22" s="193"/>
      <c r="EZ22" s="193"/>
      <c r="FA22" s="193"/>
      <c r="FB22" s="193"/>
      <c r="FC22" s="193"/>
      <c r="FD22" s="193"/>
      <c r="FE22" s="193"/>
      <c r="FF22" s="193"/>
      <c r="FG22" s="193"/>
      <c r="FH22" s="193"/>
      <c r="FI22" s="193"/>
      <c r="FJ22" s="193"/>
      <c r="FK22" s="193"/>
      <c r="FL22" s="193"/>
      <c r="FM22" s="193"/>
      <c r="FN22" s="193"/>
      <c r="FO22" s="193"/>
      <c r="FP22" s="193"/>
      <c r="FQ22" s="193"/>
      <c r="FR22" s="193"/>
      <c r="FS22" s="193"/>
      <c r="FT22" s="193"/>
      <c r="FU22" s="193"/>
      <c r="FV22" s="193"/>
      <c r="FW22" s="193"/>
      <c r="FX22" s="193"/>
      <c r="FY22" s="193"/>
      <c r="FZ22" s="193"/>
      <c r="GA22" s="193"/>
      <c r="GB22" s="193"/>
      <c r="GC22" s="193"/>
      <c r="GD22" s="193"/>
      <c r="GE22" s="193"/>
      <c r="GF22" s="193"/>
      <c r="GG22" s="193"/>
      <c r="GH22" s="193"/>
      <c r="GI22" s="193"/>
      <c r="GJ22" s="193"/>
      <c r="GK22" s="193"/>
      <c r="GL22" s="193"/>
      <c r="GM22" s="193"/>
      <c r="GN22" s="193"/>
      <c r="GO22" s="193"/>
      <c r="GP22" s="193"/>
      <c r="GQ22" s="193"/>
      <c r="GR22" s="193"/>
      <c r="GS22" s="193"/>
      <c r="GT22" s="193"/>
      <c r="GU22" s="193"/>
      <c r="GV22" s="193"/>
      <c r="GW22" s="193"/>
      <c r="GX22" s="193"/>
      <c r="GY22" s="193"/>
      <c r="GZ22" s="193"/>
      <c r="HA22" s="193"/>
      <c r="HB22" s="193"/>
      <c r="HC22" s="193"/>
      <c r="HD22" s="193"/>
      <c r="HE22" s="193"/>
      <c r="HF22" s="193"/>
      <c r="HG22" s="193"/>
      <c r="HH22" s="193"/>
      <c r="HI22" s="193"/>
      <c r="HJ22" s="193"/>
      <c r="HK22" s="193"/>
      <c r="HL22" s="193"/>
      <c r="HM22" s="193"/>
      <c r="HN22" s="193"/>
      <c r="HO22" s="193"/>
      <c r="HP22" s="193"/>
      <c r="HQ22" s="193"/>
      <c r="HR22" s="193"/>
      <c r="HS22" s="193"/>
      <c r="HT22" s="193"/>
      <c r="HU22" s="193"/>
      <c r="HV22" s="193"/>
      <c r="HW22" s="193"/>
      <c r="HX22" s="193"/>
      <c r="HY22" s="193"/>
      <c r="HZ22" s="193"/>
      <c r="IA22" s="193"/>
      <c r="IB22" s="193"/>
      <c r="IC22" s="193"/>
      <c r="ID22" s="193"/>
      <c r="IE22" s="193"/>
      <c r="IF22" s="193"/>
      <c r="IG22" s="193"/>
      <c r="IH22" s="193"/>
      <c r="II22" s="193"/>
      <c r="IJ22" s="193"/>
      <c r="IK22" s="193"/>
      <c r="IL22" s="193"/>
      <c r="IM22" s="193"/>
      <c r="IN22" s="193"/>
      <c r="IO22" s="193"/>
      <c r="IP22" s="193"/>
      <c r="IQ22" s="193"/>
      <c r="IR22" s="193"/>
      <c r="IS22" s="193"/>
      <c r="IT22" s="193"/>
      <c r="IU22" s="193"/>
      <c r="IV22" s="193"/>
    </row>
    <row r="23" spans="1:256" customFormat="1" ht="21" customHeight="1">
      <c r="A23" s="32" t="s">
        <v>940</v>
      </c>
      <c r="B23" s="204"/>
      <c r="C23" s="23"/>
      <c r="D23" s="198"/>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3"/>
      <c r="BO23" s="193"/>
      <c r="BP23" s="193"/>
      <c r="BQ23" s="193"/>
      <c r="BR23" s="193"/>
      <c r="BS23" s="193"/>
      <c r="BT23" s="193"/>
      <c r="BU23" s="193"/>
      <c r="BV23" s="193"/>
      <c r="BW23" s="193"/>
      <c r="BX23" s="193"/>
      <c r="BY23" s="193"/>
      <c r="BZ23" s="193"/>
      <c r="CA23" s="193"/>
      <c r="CB23" s="193"/>
      <c r="CC23" s="193"/>
      <c r="CD23" s="193"/>
      <c r="CE23" s="193"/>
      <c r="CF23" s="193"/>
      <c r="CG23" s="193"/>
      <c r="CH23" s="193"/>
      <c r="CI23" s="193"/>
      <c r="CJ23" s="193"/>
      <c r="CK23" s="193"/>
      <c r="CL23" s="193"/>
      <c r="CM23" s="193"/>
      <c r="CN23" s="193"/>
      <c r="CO23" s="193"/>
      <c r="CP23" s="193"/>
      <c r="CQ23" s="193"/>
      <c r="CR23" s="193"/>
      <c r="CS23" s="193"/>
      <c r="CT23" s="193"/>
      <c r="CU23" s="193"/>
      <c r="CV23" s="193"/>
      <c r="CW23" s="193"/>
      <c r="CX23" s="193"/>
      <c r="CY23" s="193"/>
      <c r="CZ23" s="193"/>
      <c r="DA23" s="193"/>
      <c r="DB23" s="193"/>
      <c r="DC23" s="193"/>
      <c r="DD23" s="193"/>
      <c r="DE23" s="193"/>
      <c r="DF23" s="193"/>
      <c r="DG23" s="193"/>
      <c r="DH23" s="193"/>
      <c r="DI23" s="193"/>
      <c r="DJ23" s="193"/>
      <c r="DK23" s="193"/>
      <c r="DL23" s="193"/>
      <c r="DM23" s="193"/>
      <c r="DN23" s="193"/>
      <c r="DO23" s="193"/>
      <c r="DP23" s="193"/>
      <c r="DQ23" s="193"/>
      <c r="DR23" s="193"/>
      <c r="DS23" s="193"/>
      <c r="DT23" s="193"/>
      <c r="DU23" s="193"/>
      <c r="DV23" s="193"/>
      <c r="DW23" s="193"/>
      <c r="DX23" s="193"/>
      <c r="DY23" s="193"/>
      <c r="DZ23" s="193"/>
      <c r="EA23" s="193"/>
      <c r="EB23" s="193"/>
      <c r="EC23" s="193"/>
      <c r="ED23" s="193"/>
      <c r="EE23" s="193"/>
      <c r="EF23" s="193"/>
      <c r="EG23" s="193"/>
      <c r="EH23" s="193"/>
      <c r="EI23" s="193"/>
      <c r="EJ23" s="193"/>
      <c r="EK23" s="193"/>
      <c r="EL23" s="193"/>
      <c r="EM23" s="193"/>
      <c r="EN23" s="193"/>
      <c r="EO23" s="193"/>
      <c r="EP23" s="193"/>
      <c r="EQ23" s="193"/>
      <c r="ER23" s="193"/>
      <c r="ES23" s="193"/>
      <c r="ET23" s="193"/>
      <c r="EU23" s="193"/>
      <c r="EV23" s="193"/>
      <c r="EW23" s="193"/>
      <c r="EX23" s="193"/>
      <c r="EY23" s="193"/>
      <c r="EZ23" s="193"/>
      <c r="FA23" s="193"/>
      <c r="FB23" s="193"/>
      <c r="FC23" s="193"/>
      <c r="FD23" s="193"/>
      <c r="FE23" s="193"/>
      <c r="FF23" s="193"/>
      <c r="FG23" s="193"/>
      <c r="FH23" s="193"/>
      <c r="FI23" s="193"/>
      <c r="FJ23" s="193"/>
      <c r="FK23" s="193"/>
      <c r="FL23" s="193"/>
      <c r="FM23" s="193"/>
      <c r="FN23" s="193"/>
      <c r="FO23" s="193"/>
      <c r="FP23" s="193"/>
      <c r="FQ23" s="193"/>
      <c r="FR23" s="193"/>
      <c r="FS23" s="193"/>
      <c r="FT23" s="193"/>
      <c r="FU23" s="193"/>
      <c r="FV23" s="193"/>
      <c r="FW23" s="193"/>
      <c r="FX23" s="193"/>
      <c r="FY23" s="193"/>
      <c r="FZ23" s="193"/>
      <c r="GA23" s="193"/>
      <c r="GB23" s="193"/>
      <c r="GC23" s="193"/>
      <c r="GD23" s="193"/>
      <c r="GE23" s="193"/>
      <c r="GF23" s="193"/>
      <c r="GG23" s="193"/>
      <c r="GH23" s="193"/>
      <c r="GI23" s="193"/>
      <c r="GJ23" s="193"/>
      <c r="GK23" s="193"/>
      <c r="GL23" s="193"/>
      <c r="GM23" s="193"/>
      <c r="GN23" s="193"/>
      <c r="GO23" s="193"/>
      <c r="GP23" s="193"/>
      <c r="GQ23" s="193"/>
      <c r="GR23" s="193"/>
      <c r="GS23" s="193"/>
      <c r="GT23" s="193"/>
      <c r="GU23" s="193"/>
      <c r="GV23" s="193"/>
      <c r="GW23" s="193"/>
      <c r="GX23" s="193"/>
      <c r="GY23" s="193"/>
      <c r="GZ23" s="193"/>
      <c r="HA23" s="193"/>
      <c r="HB23" s="193"/>
      <c r="HC23" s="193"/>
      <c r="HD23" s="193"/>
      <c r="HE23" s="193"/>
      <c r="HF23" s="193"/>
      <c r="HG23" s="193"/>
      <c r="HH23" s="193"/>
      <c r="HI23" s="193"/>
      <c r="HJ23" s="193"/>
      <c r="HK23" s="193"/>
      <c r="HL23" s="193"/>
      <c r="HM23" s="193"/>
      <c r="HN23" s="193"/>
      <c r="HO23" s="193"/>
      <c r="HP23" s="193"/>
      <c r="HQ23" s="193"/>
      <c r="HR23" s="193"/>
      <c r="HS23" s="193"/>
      <c r="HT23" s="193"/>
      <c r="HU23" s="193"/>
      <c r="HV23" s="193"/>
      <c r="HW23" s="193"/>
      <c r="HX23" s="193"/>
      <c r="HY23" s="193"/>
      <c r="HZ23" s="193"/>
      <c r="IA23" s="193"/>
      <c r="IB23" s="193"/>
      <c r="IC23" s="193"/>
      <c r="ID23" s="193"/>
      <c r="IE23" s="193"/>
      <c r="IF23" s="193"/>
      <c r="IG23" s="193"/>
      <c r="IH23" s="193"/>
      <c r="II23" s="193"/>
      <c r="IJ23" s="193"/>
      <c r="IK23" s="193"/>
      <c r="IL23" s="193"/>
      <c r="IM23" s="193"/>
      <c r="IN23" s="193"/>
      <c r="IO23" s="193"/>
      <c r="IP23" s="193"/>
      <c r="IQ23" s="193"/>
      <c r="IR23" s="193"/>
      <c r="IS23" s="193"/>
      <c r="IT23" s="193"/>
      <c r="IU23" s="193"/>
      <c r="IV23" s="193"/>
    </row>
    <row r="24" spans="1:256" customFormat="1" ht="21" customHeight="1">
      <c r="A24" s="205" t="s">
        <v>941</v>
      </c>
      <c r="B24" s="199">
        <f>+B25</f>
        <v>145</v>
      </c>
      <c r="C24" s="199">
        <f>+C25</f>
        <v>50000</v>
      </c>
      <c r="D24" s="206"/>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3"/>
      <c r="BC24" s="193"/>
      <c r="BD24" s="193"/>
      <c r="BE24" s="193"/>
      <c r="BF24" s="193"/>
      <c r="BG24" s="193"/>
      <c r="BH24" s="193"/>
      <c r="BI24" s="193"/>
      <c r="BJ24" s="193"/>
      <c r="BK24" s="193"/>
      <c r="BL24" s="193"/>
      <c r="BM24" s="193"/>
      <c r="BN24" s="193"/>
      <c r="BO24" s="193"/>
      <c r="BP24" s="193"/>
      <c r="BQ24" s="193"/>
      <c r="BR24" s="193"/>
      <c r="BS24" s="193"/>
      <c r="BT24" s="193"/>
      <c r="BU24" s="193"/>
      <c r="BV24" s="193"/>
      <c r="BW24" s="193"/>
      <c r="BX24" s="193"/>
      <c r="BY24" s="193"/>
      <c r="BZ24" s="193"/>
      <c r="CA24" s="193"/>
      <c r="CB24" s="193"/>
      <c r="CC24" s="193"/>
      <c r="CD24" s="193"/>
      <c r="CE24" s="193"/>
      <c r="CF24" s="193"/>
      <c r="CG24" s="193"/>
      <c r="CH24" s="193"/>
      <c r="CI24" s="193"/>
      <c r="CJ24" s="193"/>
      <c r="CK24" s="193"/>
      <c r="CL24" s="193"/>
      <c r="CM24" s="193"/>
      <c r="CN24" s="193"/>
      <c r="CO24" s="193"/>
      <c r="CP24" s="193"/>
      <c r="CQ24" s="193"/>
      <c r="CR24" s="193"/>
      <c r="CS24" s="193"/>
      <c r="CT24" s="193"/>
      <c r="CU24" s="193"/>
      <c r="CV24" s="193"/>
      <c r="CW24" s="193"/>
      <c r="CX24" s="193"/>
      <c r="CY24" s="193"/>
      <c r="CZ24" s="193"/>
      <c r="DA24" s="193"/>
      <c r="DB24" s="193"/>
      <c r="DC24" s="193"/>
      <c r="DD24" s="193"/>
      <c r="DE24" s="193"/>
      <c r="DF24" s="193"/>
      <c r="DG24" s="193"/>
      <c r="DH24" s="193"/>
      <c r="DI24" s="193"/>
      <c r="DJ24" s="193"/>
      <c r="DK24" s="193"/>
      <c r="DL24" s="193"/>
      <c r="DM24" s="193"/>
      <c r="DN24" s="193"/>
      <c r="DO24" s="193"/>
      <c r="DP24" s="193"/>
      <c r="DQ24" s="193"/>
      <c r="DR24" s="193"/>
      <c r="DS24" s="193"/>
      <c r="DT24" s="193"/>
      <c r="DU24" s="193"/>
      <c r="DV24" s="193"/>
      <c r="DW24" s="193"/>
      <c r="DX24" s="193"/>
      <c r="DY24" s="193"/>
      <c r="DZ24" s="193"/>
      <c r="EA24" s="193"/>
      <c r="EB24" s="193"/>
      <c r="EC24" s="193"/>
      <c r="ED24" s="193"/>
      <c r="EE24" s="193"/>
      <c r="EF24" s="193"/>
      <c r="EG24" s="193"/>
      <c r="EH24" s="193"/>
      <c r="EI24" s="193"/>
      <c r="EJ24" s="193"/>
      <c r="EK24" s="193"/>
      <c r="EL24" s="193"/>
      <c r="EM24" s="193"/>
      <c r="EN24" s="193"/>
      <c r="EO24" s="193"/>
      <c r="EP24" s="193"/>
      <c r="EQ24" s="193"/>
      <c r="ER24" s="193"/>
      <c r="ES24" s="193"/>
      <c r="ET24" s="193"/>
      <c r="EU24" s="193"/>
      <c r="EV24" s="193"/>
      <c r="EW24" s="193"/>
      <c r="EX24" s="193"/>
      <c r="EY24" s="193"/>
      <c r="EZ24" s="193"/>
      <c r="FA24" s="193"/>
      <c r="FB24" s="193"/>
      <c r="FC24" s="193"/>
      <c r="FD24" s="193"/>
      <c r="FE24" s="193"/>
      <c r="FF24" s="193"/>
      <c r="FG24" s="193"/>
      <c r="FH24" s="193"/>
      <c r="FI24" s="193"/>
      <c r="FJ24" s="193"/>
      <c r="FK24" s="193"/>
      <c r="FL24" s="193"/>
      <c r="FM24" s="193"/>
      <c r="FN24" s="193"/>
      <c r="FO24" s="193"/>
      <c r="FP24" s="193"/>
      <c r="FQ24" s="193"/>
      <c r="FR24" s="193"/>
      <c r="FS24" s="193"/>
      <c r="FT24" s="193"/>
      <c r="FU24" s="193"/>
      <c r="FV24" s="193"/>
      <c r="FW24" s="193"/>
      <c r="FX24" s="193"/>
      <c r="FY24" s="193"/>
      <c r="FZ24" s="193"/>
      <c r="GA24" s="193"/>
      <c r="GB24" s="193"/>
      <c r="GC24" s="193"/>
      <c r="GD24" s="193"/>
      <c r="GE24" s="193"/>
      <c r="GF24" s="193"/>
      <c r="GG24" s="193"/>
      <c r="GH24" s="193"/>
      <c r="GI24" s="193"/>
      <c r="GJ24" s="193"/>
      <c r="GK24" s="193"/>
      <c r="GL24" s="193"/>
      <c r="GM24" s="193"/>
      <c r="GN24" s="193"/>
      <c r="GO24" s="193"/>
      <c r="GP24" s="193"/>
      <c r="GQ24" s="193"/>
      <c r="GR24" s="193"/>
      <c r="GS24" s="193"/>
      <c r="GT24" s="193"/>
      <c r="GU24" s="193"/>
      <c r="GV24" s="193"/>
      <c r="GW24" s="193"/>
      <c r="GX24" s="193"/>
      <c r="GY24" s="193"/>
      <c r="GZ24" s="193"/>
      <c r="HA24" s="193"/>
      <c r="HB24" s="193"/>
      <c r="HC24" s="193"/>
      <c r="HD24" s="193"/>
      <c r="HE24" s="193"/>
      <c r="HF24" s="193"/>
      <c r="HG24" s="193"/>
      <c r="HH24" s="193"/>
      <c r="HI24" s="193"/>
      <c r="HJ24" s="193"/>
      <c r="HK24" s="193"/>
      <c r="HL24" s="193"/>
      <c r="HM24" s="193"/>
      <c r="HN24" s="193"/>
      <c r="HO24" s="193"/>
      <c r="HP24" s="193"/>
      <c r="HQ24" s="193"/>
      <c r="HR24" s="193"/>
      <c r="HS24" s="193"/>
      <c r="HT24" s="193"/>
      <c r="HU24" s="193"/>
      <c r="HV24" s="193"/>
      <c r="HW24" s="193"/>
      <c r="HX24" s="193"/>
      <c r="HY24" s="193"/>
      <c r="HZ24" s="193"/>
      <c r="IA24" s="193"/>
      <c r="IB24" s="193"/>
      <c r="IC24" s="193"/>
      <c r="ID24" s="193"/>
      <c r="IE24" s="193"/>
      <c r="IF24" s="193"/>
      <c r="IG24" s="193"/>
      <c r="IH24" s="193"/>
      <c r="II24" s="193"/>
      <c r="IJ24" s="193"/>
      <c r="IK24" s="193"/>
      <c r="IL24" s="193"/>
      <c r="IM24" s="193"/>
      <c r="IN24" s="193"/>
      <c r="IO24" s="193"/>
      <c r="IP24" s="193"/>
      <c r="IQ24" s="193"/>
      <c r="IR24" s="193"/>
      <c r="IS24" s="193"/>
      <c r="IT24" s="193"/>
      <c r="IU24" s="193"/>
      <c r="IV24" s="193"/>
    </row>
    <row r="25" spans="1:256" customFormat="1" ht="21" customHeight="1">
      <c r="A25" s="32" t="s">
        <v>913</v>
      </c>
      <c r="B25" s="199">
        <f>51+94</f>
        <v>145</v>
      </c>
      <c r="C25" s="46">
        <v>50000</v>
      </c>
      <c r="D25" s="198"/>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3"/>
      <c r="BO25" s="193"/>
      <c r="BP25" s="193"/>
      <c r="BQ25" s="193"/>
      <c r="BR25" s="193"/>
      <c r="BS25" s="193"/>
      <c r="BT25" s="193"/>
      <c r="BU25" s="193"/>
      <c r="BV25" s="193"/>
      <c r="BW25" s="193"/>
      <c r="BX25" s="193"/>
      <c r="BY25" s="193"/>
      <c r="BZ25" s="193"/>
      <c r="CA25" s="193"/>
      <c r="CB25" s="193"/>
      <c r="CC25" s="193"/>
      <c r="CD25" s="193"/>
      <c r="CE25" s="193"/>
      <c r="CF25" s="193"/>
      <c r="CG25" s="193"/>
      <c r="CH25" s="193"/>
      <c r="CI25" s="193"/>
      <c r="CJ25" s="193"/>
      <c r="CK25" s="193"/>
      <c r="CL25" s="193"/>
      <c r="CM25" s="193"/>
      <c r="CN25" s="193"/>
      <c r="CO25" s="193"/>
      <c r="CP25" s="193"/>
      <c r="CQ25" s="193"/>
      <c r="CR25" s="193"/>
      <c r="CS25" s="193"/>
      <c r="CT25" s="193"/>
      <c r="CU25" s="193"/>
      <c r="CV25" s="193"/>
      <c r="CW25" s="193"/>
      <c r="CX25" s="193"/>
      <c r="CY25" s="193"/>
      <c r="CZ25" s="193"/>
      <c r="DA25" s="193"/>
      <c r="DB25" s="193"/>
      <c r="DC25" s="193"/>
      <c r="DD25" s="193"/>
      <c r="DE25" s="193"/>
      <c r="DF25" s="193"/>
      <c r="DG25" s="193"/>
      <c r="DH25" s="193"/>
      <c r="DI25" s="193"/>
      <c r="DJ25" s="193"/>
      <c r="DK25" s="193"/>
      <c r="DL25" s="193"/>
      <c r="DM25" s="193"/>
      <c r="DN25" s="193"/>
      <c r="DO25" s="193"/>
      <c r="DP25" s="193"/>
      <c r="DQ25" s="193"/>
      <c r="DR25" s="193"/>
      <c r="DS25" s="193"/>
      <c r="DT25" s="193"/>
      <c r="DU25" s="193"/>
      <c r="DV25" s="193"/>
      <c r="DW25" s="193"/>
      <c r="DX25" s="193"/>
      <c r="DY25" s="193"/>
      <c r="DZ25" s="193"/>
      <c r="EA25" s="193"/>
      <c r="EB25" s="193"/>
      <c r="EC25" s="193"/>
      <c r="ED25" s="193"/>
      <c r="EE25" s="193"/>
      <c r="EF25" s="193"/>
      <c r="EG25" s="193"/>
      <c r="EH25" s="193"/>
      <c r="EI25" s="193"/>
      <c r="EJ25" s="193"/>
      <c r="EK25" s="193"/>
      <c r="EL25" s="193"/>
      <c r="EM25" s="193"/>
      <c r="EN25" s="193"/>
      <c r="EO25" s="193"/>
      <c r="EP25" s="193"/>
      <c r="EQ25" s="193"/>
      <c r="ER25" s="193"/>
      <c r="ES25" s="193"/>
      <c r="ET25" s="193"/>
      <c r="EU25" s="193"/>
      <c r="EV25" s="193"/>
      <c r="EW25" s="193"/>
      <c r="EX25" s="193"/>
      <c r="EY25" s="193"/>
      <c r="EZ25" s="193"/>
      <c r="FA25" s="193"/>
      <c r="FB25" s="193"/>
      <c r="FC25" s="193"/>
      <c r="FD25" s="193"/>
      <c r="FE25" s="193"/>
      <c r="FF25" s="193"/>
      <c r="FG25" s="193"/>
      <c r="FH25" s="193"/>
      <c r="FI25" s="193"/>
      <c r="FJ25" s="193"/>
      <c r="FK25" s="193"/>
      <c r="FL25" s="193"/>
      <c r="FM25" s="193"/>
      <c r="FN25" s="193"/>
      <c r="FO25" s="193"/>
      <c r="FP25" s="193"/>
      <c r="FQ25" s="193"/>
      <c r="FR25" s="193"/>
      <c r="FS25" s="193"/>
      <c r="FT25" s="193"/>
      <c r="FU25" s="193"/>
      <c r="FV25" s="193"/>
      <c r="FW25" s="193"/>
      <c r="FX25" s="193"/>
      <c r="FY25" s="193"/>
      <c r="FZ25" s="193"/>
      <c r="GA25" s="193"/>
      <c r="GB25" s="193"/>
      <c r="GC25" s="193"/>
      <c r="GD25" s="193"/>
      <c r="GE25" s="193"/>
      <c r="GF25" s="193"/>
      <c r="GG25" s="193"/>
      <c r="GH25" s="193"/>
      <c r="GI25" s="193"/>
      <c r="GJ25" s="193"/>
      <c r="GK25" s="193"/>
      <c r="GL25" s="193"/>
      <c r="GM25" s="193"/>
      <c r="GN25" s="193"/>
      <c r="GO25" s="193"/>
      <c r="GP25" s="193"/>
      <c r="GQ25" s="193"/>
      <c r="GR25" s="193"/>
      <c r="GS25" s="193"/>
      <c r="GT25" s="193"/>
      <c r="GU25" s="193"/>
      <c r="GV25" s="193"/>
      <c r="GW25" s="193"/>
      <c r="GX25" s="193"/>
      <c r="GY25" s="193"/>
      <c r="GZ25" s="193"/>
      <c r="HA25" s="193"/>
      <c r="HB25" s="193"/>
      <c r="HC25" s="193"/>
      <c r="HD25" s="193"/>
      <c r="HE25" s="193"/>
      <c r="HF25" s="193"/>
      <c r="HG25" s="193"/>
      <c r="HH25" s="193"/>
      <c r="HI25" s="193"/>
      <c r="HJ25" s="193"/>
      <c r="HK25" s="193"/>
      <c r="HL25" s="193"/>
      <c r="HM25" s="193"/>
      <c r="HN25" s="193"/>
      <c r="HO25" s="193"/>
      <c r="HP25" s="193"/>
      <c r="HQ25" s="193"/>
      <c r="HR25" s="193"/>
      <c r="HS25" s="193"/>
      <c r="HT25" s="193"/>
      <c r="HU25" s="193"/>
      <c r="HV25" s="193"/>
      <c r="HW25" s="193"/>
      <c r="HX25" s="193"/>
      <c r="HY25" s="193"/>
      <c r="HZ25" s="193"/>
      <c r="IA25" s="193"/>
      <c r="IB25" s="193"/>
      <c r="IC25" s="193"/>
      <c r="ID25" s="193"/>
      <c r="IE25" s="193"/>
      <c r="IF25" s="193"/>
      <c r="IG25" s="193"/>
      <c r="IH25" s="193"/>
      <c r="II25" s="193"/>
      <c r="IJ25" s="193"/>
      <c r="IK25" s="193"/>
      <c r="IL25" s="193"/>
      <c r="IM25" s="193"/>
      <c r="IN25" s="193"/>
      <c r="IO25" s="193"/>
      <c r="IP25" s="193"/>
      <c r="IQ25" s="193"/>
      <c r="IR25" s="193"/>
      <c r="IS25" s="193"/>
      <c r="IT25" s="193"/>
      <c r="IU25" s="193"/>
      <c r="IV25" s="193"/>
    </row>
    <row r="26" spans="1:256" customFormat="1" ht="21" customHeight="1">
      <c r="A26" s="207" t="s">
        <v>942</v>
      </c>
      <c r="B26" s="40">
        <f>+B4+B21+B24</f>
        <v>189982</v>
      </c>
      <c r="C26" s="203">
        <f>+C4+C21+C24</f>
        <v>241299</v>
      </c>
      <c r="D26" s="198">
        <f>+(C26-B26)/B26*100</f>
        <v>27.011506353233468</v>
      </c>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3"/>
      <c r="CE26" s="193"/>
      <c r="CF26" s="193"/>
      <c r="CG26" s="193"/>
      <c r="CH26" s="193"/>
      <c r="CI26" s="193"/>
      <c r="CJ26" s="193"/>
      <c r="CK26" s="193"/>
      <c r="CL26" s="193"/>
      <c r="CM26" s="193"/>
      <c r="CN26" s="193"/>
      <c r="CO26" s="193"/>
      <c r="CP26" s="193"/>
      <c r="CQ26" s="193"/>
      <c r="CR26" s="193"/>
      <c r="CS26" s="193"/>
      <c r="CT26" s="193"/>
      <c r="CU26" s="193"/>
      <c r="CV26" s="193"/>
      <c r="CW26" s="193"/>
      <c r="CX26" s="193"/>
      <c r="CY26" s="193"/>
      <c r="CZ26" s="193"/>
      <c r="DA26" s="193"/>
      <c r="DB26" s="193"/>
      <c r="DC26" s="193"/>
      <c r="DD26" s="193"/>
      <c r="DE26" s="193"/>
      <c r="DF26" s="193"/>
      <c r="DG26" s="193"/>
      <c r="DH26" s="193"/>
      <c r="DI26" s="193"/>
      <c r="DJ26" s="193"/>
      <c r="DK26" s="193"/>
      <c r="DL26" s="193"/>
      <c r="DM26" s="193"/>
      <c r="DN26" s="193"/>
      <c r="DO26" s="193"/>
      <c r="DP26" s="193"/>
      <c r="DQ26" s="193"/>
      <c r="DR26" s="193"/>
      <c r="DS26" s="193"/>
      <c r="DT26" s="193"/>
      <c r="DU26" s="193"/>
      <c r="DV26" s="193"/>
      <c r="DW26" s="193"/>
      <c r="DX26" s="193"/>
      <c r="DY26" s="193"/>
      <c r="DZ26" s="193"/>
      <c r="EA26" s="193"/>
      <c r="EB26" s="193"/>
      <c r="EC26" s="193"/>
      <c r="ED26" s="193"/>
      <c r="EE26" s="193"/>
      <c r="EF26" s="193"/>
      <c r="EG26" s="193"/>
      <c r="EH26" s="193"/>
      <c r="EI26" s="193"/>
      <c r="EJ26" s="193"/>
      <c r="EK26" s="193"/>
      <c r="EL26" s="193"/>
      <c r="EM26" s="193"/>
      <c r="EN26" s="193"/>
      <c r="EO26" s="193"/>
      <c r="EP26" s="193"/>
      <c r="EQ26" s="193"/>
      <c r="ER26" s="193"/>
      <c r="ES26" s="193"/>
      <c r="ET26" s="193"/>
      <c r="EU26" s="193"/>
      <c r="EV26" s="193"/>
      <c r="EW26" s="193"/>
      <c r="EX26" s="193"/>
      <c r="EY26" s="193"/>
      <c r="EZ26" s="193"/>
      <c r="FA26" s="193"/>
      <c r="FB26" s="193"/>
      <c r="FC26" s="193"/>
      <c r="FD26" s="193"/>
      <c r="FE26" s="193"/>
      <c r="FF26" s="193"/>
      <c r="FG26" s="193"/>
      <c r="FH26" s="193"/>
      <c r="FI26" s="193"/>
      <c r="FJ26" s="193"/>
      <c r="FK26" s="193"/>
      <c r="FL26" s="193"/>
      <c r="FM26" s="193"/>
      <c r="FN26" s="193"/>
      <c r="FO26" s="193"/>
      <c r="FP26" s="193"/>
      <c r="FQ26" s="193"/>
      <c r="FR26" s="193"/>
      <c r="FS26" s="193"/>
      <c r="FT26" s="193"/>
      <c r="FU26" s="193"/>
      <c r="FV26" s="193"/>
      <c r="FW26" s="193"/>
      <c r="FX26" s="193"/>
      <c r="FY26" s="193"/>
      <c r="FZ26" s="193"/>
      <c r="GA26" s="193"/>
      <c r="GB26" s="193"/>
      <c r="GC26" s="193"/>
      <c r="GD26" s="193"/>
      <c r="GE26" s="193"/>
      <c r="GF26" s="193"/>
      <c r="GG26" s="193"/>
      <c r="GH26" s="193"/>
      <c r="GI26" s="193"/>
      <c r="GJ26" s="193"/>
      <c r="GK26" s="193"/>
      <c r="GL26" s="193"/>
      <c r="GM26" s="193"/>
      <c r="GN26" s="193"/>
      <c r="GO26" s="193"/>
      <c r="GP26" s="193"/>
      <c r="GQ26" s="193"/>
      <c r="GR26" s="193"/>
      <c r="GS26" s="193"/>
      <c r="GT26" s="193"/>
      <c r="GU26" s="193"/>
      <c r="GV26" s="193"/>
      <c r="GW26" s="193"/>
      <c r="GX26" s="193"/>
      <c r="GY26" s="193"/>
      <c r="GZ26" s="193"/>
      <c r="HA26" s="193"/>
      <c r="HB26" s="193"/>
      <c r="HC26" s="193"/>
      <c r="HD26" s="193"/>
      <c r="HE26" s="193"/>
      <c r="HF26" s="193"/>
      <c r="HG26" s="193"/>
      <c r="HH26" s="193"/>
      <c r="HI26" s="193"/>
      <c r="HJ26" s="193"/>
      <c r="HK26" s="193"/>
      <c r="HL26" s="193"/>
      <c r="HM26" s="193"/>
      <c r="HN26" s="193"/>
      <c r="HO26" s="193"/>
      <c r="HP26" s="193"/>
      <c r="HQ26" s="193"/>
      <c r="HR26" s="193"/>
      <c r="HS26" s="193"/>
      <c r="HT26" s="193"/>
      <c r="HU26" s="193"/>
      <c r="HV26" s="193"/>
      <c r="HW26" s="193"/>
      <c r="HX26" s="193"/>
      <c r="HY26" s="193"/>
      <c r="HZ26" s="193"/>
      <c r="IA26" s="193"/>
      <c r="IB26" s="193"/>
      <c r="IC26" s="193"/>
      <c r="ID26" s="193"/>
      <c r="IE26" s="193"/>
      <c r="IF26" s="193"/>
      <c r="IG26" s="193"/>
      <c r="IH26" s="193"/>
      <c r="II26" s="193"/>
      <c r="IJ26" s="193"/>
      <c r="IK26" s="193"/>
      <c r="IL26" s="193"/>
      <c r="IM26" s="193"/>
      <c r="IN26" s="193"/>
      <c r="IO26" s="193"/>
      <c r="IP26" s="193"/>
      <c r="IQ26" s="193"/>
      <c r="IR26" s="193"/>
      <c r="IS26" s="193"/>
      <c r="IT26" s="193"/>
      <c r="IU26" s="193"/>
      <c r="IV26" s="193"/>
    </row>
    <row r="27" spans="1:256" customFormat="1" ht="21" customHeight="1">
      <c r="A27" s="35" t="s">
        <v>920</v>
      </c>
      <c r="B27" s="23"/>
      <c r="C27" s="46">
        <v>2700</v>
      </c>
      <c r="D27" s="198"/>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c r="BG27" s="193"/>
      <c r="BH27" s="193"/>
      <c r="BI27" s="193"/>
      <c r="BJ27" s="193"/>
      <c r="BK27" s="193"/>
      <c r="BL27" s="193"/>
      <c r="BM27" s="193"/>
      <c r="BN27" s="193"/>
      <c r="BO27" s="193"/>
      <c r="BP27" s="193"/>
      <c r="BQ27" s="193"/>
      <c r="BR27" s="193"/>
      <c r="BS27" s="193"/>
      <c r="BT27" s="193"/>
      <c r="BU27" s="193"/>
      <c r="BV27" s="193"/>
      <c r="BW27" s="193"/>
      <c r="BX27" s="193"/>
      <c r="BY27" s="193"/>
      <c r="BZ27" s="193"/>
      <c r="CA27" s="193"/>
      <c r="CB27" s="193"/>
      <c r="CC27" s="193"/>
      <c r="CD27" s="193"/>
      <c r="CE27" s="193"/>
      <c r="CF27" s="193"/>
      <c r="CG27" s="193"/>
      <c r="CH27" s="193"/>
      <c r="CI27" s="193"/>
      <c r="CJ27" s="193"/>
      <c r="CK27" s="193"/>
      <c r="CL27" s="193"/>
      <c r="CM27" s="193"/>
      <c r="CN27" s="193"/>
      <c r="CO27" s="193"/>
      <c r="CP27" s="193"/>
      <c r="CQ27" s="193"/>
      <c r="CR27" s="193"/>
      <c r="CS27" s="193"/>
      <c r="CT27" s="193"/>
      <c r="CU27" s="193"/>
      <c r="CV27" s="193"/>
      <c r="CW27" s="193"/>
      <c r="CX27" s="193"/>
      <c r="CY27" s="193"/>
      <c r="CZ27" s="193"/>
      <c r="DA27" s="193"/>
      <c r="DB27" s="193"/>
      <c r="DC27" s="193"/>
      <c r="DD27" s="193"/>
      <c r="DE27" s="193"/>
      <c r="DF27" s="193"/>
      <c r="DG27" s="193"/>
      <c r="DH27" s="193"/>
      <c r="DI27" s="193"/>
      <c r="DJ27" s="193"/>
      <c r="DK27" s="193"/>
      <c r="DL27" s="193"/>
      <c r="DM27" s="193"/>
      <c r="DN27" s="193"/>
      <c r="DO27" s="193"/>
      <c r="DP27" s="193"/>
      <c r="DQ27" s="193"/>
      <c r="DR27" s="193"/>
      <c r="DS27" s="193"/>
      <c r="DT27" s="193"/>
      <c r="DU27" s="193"/>
      <c r="DV27" s="193"/>
      <c r="DW27" s="193"/>
      <c r="DX27" s="193"/>
      <c r="DY27" s="193"/>
      <c r="DZ27" s="193"/>
      <c r="EA27" s="193"/>
      <c r="EB27" s="193"/>
      <c r="EC27" s="193"/>
      <c r="ED27" s="193"/>
      <c r="EE27" s="193"/>
      <c r="EF27" s="193"/>
      <c r="EG27" s="193"/>
      <c r="EH27" s="193"/>
      <c r="EI27" s="193"/>
      <c r="EJ27" s="193"/>
      <c r="EK27" s="193"/>
      <c r="EL27" s="193"/>
      <c r="EM27" s="193"/>
      <c r="EN27" s="193"/>
      <c r="EO27" s="193"/>
      <c r="EP27" s="193"/>
      <c r="EQ27" s="193"/>
      <c r="ER27" s="193"/>
      <c r="ES27" s="193"/>
      <c r="ET27" s="193"/>
      <c r="EU27" s="193"/>
      <c r="EV27" s="193"/>
      <c r="EW27" s="193"/>
      <c r="EX27" s="193"/>
      <c r="EY27" s="193"/>
      <c r="EZ27" s="193"/>
      <c r="FA27" s="193"/>
      <c r="FB27" s="193"/>
      <c r="FC27" s="193"/>
      <c r="FD27" s="193"/>
      <c r="FE27" s="193"/>
      <c r="FF27" s="193"/>
      <c r="FG27" s="193"/>
      <c r="FH27" s="193"/>
      <c r="FI27" s="193"/>
      <c r="FJ27" s="193"/>
      <c r="FK27" s="193"/>
      <c r="FL27" s="193"/>
      <c r="FM27" s="193"/>
      <c r="FN27" s="193"/>
      <c r="FO27" s="193"/>
      <c r="FP27" s="193"/>
      <c r="FQ27" s="193"/>
      <c r="FR27" s="193"/>
      <c r="FS27" s="193"/>
      <c r="FT27" s="193"/>
      <c r="FU27" s="193"/>
      <c r="FV27" s="193"/>
      <c r="FW27" s="193"/>
      <c r="FX27" s="193"/>
      <c r="FY27" s="193"/>
      <c r="FZ27" s="193"/>
      <c r="GA27" s="193"/>
      <c r="GB27" s="193"/>
      <c r="GC27" s="193"/>
      <c r="GD27" s="193"/>
      <c r="GE27" s="193"/>
      <c r="GF27" s="193"/>
      <c r="GG27" s="193"/>
      <c r="GH27" s="193"/>
      <c r="GI27" s="193"/>
      <c r="GJ27" s="193"/>
      <c r="GK27" s="193"/>
      <c r="GL27" s="193"/>
      <c r="GM27" s="193"/>
      <c r="GN27" s="193"/>
      <c r="GO27" s="193"/>
      <c r="GP27" s="193"/>
      <c r="GQ27" s="193"/>
      <c r="GR27" s="193"/>
      <c r="GS27" s="193"/>
      <c r="GT27" s="193"/>
      <c r="GU27" s="193"/>
      <c r="GV27" s="193"/>
      <c r="GW27" s="193"/>
      <c r="GX27" s="193"/>
      <c r="GY27" s="193"/>
      <c r="GZ27" s="193"/>
      <c r="HA27" s="193"/>
      <c r="HB27" s="193"/>
      <c r="HC27" s="193"/>
      <c r="HD27" s="193"/>
      <c r="HE27" s="193"/>
      <c r="HF27" s="193"/>
      <c r="HG27" s="193"/>
      <c r="HH27" s="193"/>
      <c r="HI27" s="193"/>
      <c r="HJ27" s="193"/>
      <c r="HK27" s="193"/>
      <c r="HL27" s="193"/>
      <c r="HM27" s="193"/>
      <c r="HN27" s="193"/>
      <c r="HO27" s="193"/>
      <c r="HP27" s="193"/>
      <c r="HQ27" s="193"/>
      <c r="HR27" s="193"/>
      <c r="HS27" s="193"/>
      <c r="HT27" s="193"/>
      <c r="HU27" s="193"/>
      <c r="HV27" s="193"/>
      <c r="HW27" s="193"/>
      <c r="HX27" s="193"/>
      <c r="HY27" s="193"/>
      <c r="HZ27" s="193"/>
      <c r="IA27" s="193"/>
      <c r="IB27" s="193"/>
      <c r="IC27" s="193"/>
      <c r="ID27" s="193"/>
      <c r="IE27" s="193"/>
      <c r="IF27" s="193"/>
      <c r="IG27" s="193"/>
      <c r="IH27" s="193"/>
      <c r="II27" s="193"/>
      <c r="IJ27" s="193"/>
      <c r="IK27" s="193"/>
      <c r="IL27" s="193"/>
      <c r="IM27" s="193"/>
      <c r="IN27" s="193"/>
      <c r="IO27" s="193"/>
      <c r="IP27" s="193"/>
      <c r="IQ27" s="193"/>
      <c r="IR27" s="193"/>
      <c r="IS27" s="193"/>
      <c r="IT27" s="193"/>
      <c r="IU27" s="193"/>
      <c r="IV27" s="193"/>
    </row>
    <row r="28" spans="1:256" customFormat="1" ht="21" customHeight="1">
      <c r="A28" s="35" t="s">
        <v>943</v>
      </c>
      <c r="B28" s="23"/>
      <c r="C28" s="46">
        <v>13727</v>
      </c>
      <c r="D28" s="198"/>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c r="BG28" s="193"/>
      <c r="BH28" s="193"/>
      <c r="BI28" s="193"/>
      <c r="BJ28" s="193"/>
      <c r="BK28" s="193"/>
      <c r="BL28" s="193"/>
      <c r="BM28" s="193"/>
      <c r="BN28" s="193"/>
      <c r="BO28" s="193"/>
      <c r="BP28" s="193"/>
      <c r="BQ28" s="193"/>
      <c r="BR28" s="193"/>
      <c r="BS28" s="193"/>
      <c r="BT28" s="193"/>
      <c r="BU28" s="193"/>
      <c r="BV28" s="193"/>
      <c r="BW28" s="193"/>
      <c r="BX28" s="193"/>
      <c r="BY28" s="193"/>
      <c r="BZ28" s="193"/>
      <c r="CA28" s="193"/>
      <c r="CB28" s="193"/>
      <c r="CC28" s="193"/>
      <c r="CD28" s="193"/>
      <c r="CE28" s="193"/>
      <c r="CF28" s="193"/>
      <c r="CG28" s="193"/>
      <c r="CH28" s="193"/>
      <c r="CI28" s="193"/>
      <c r="CJ28" s="193"/>
      <c r="CK28" s="193"/>
      <c r="CL28" s="193"/>
      <c r="CM28" s="193"/>
      <c r="CN28" s="193"/>
      <c r="CO28" s="193"/>
      <c r="CP28" s="193"/>
      <c r="CQ28" s="193"/>
      <c r="CR28" s="193"/>
      <c r="CS28" s="193"/>
      <c r="CT28" s="193"/>
      <c r="CU28" s="193"/>
      <c r="CV28" s="193"/>
      <c r="CW28" s="193"/>
      <c r="CX28" s="193"/>
      <c r="CY28" s="193"/>
      <c r="CZ28" s="193"/>
      <c r="DA28" s="193"/>
      <c r="DB28" s="193"/>
      <c r="DC28" s="193"/>
      <c r="DD28" s="193"/>
      <c r="DE28" s="193"/>
      <c r="DF28" s="193"/>
      <c r="DG28" s="193"/>
      <c r="DH28" s="193"/>
      <c r="DI28" s="193"/>
      <c r="DJ28" s="193"/>
      <c r="DK28" s="193"/>
      <c r="DL28" s="193"/>
      <c r="DM28" s="193"/>
      <c r="DN28" s="193"/>
      <c r="DO28" s="193"/>
      <c r="DP28" s="193"/>
      <c r="DQ28" s="193"/>
      <c r="DR28" s="193"/>
      <c r="DS28" s="193"/>
      <c r="DT28" s="193"/>
      <c r="DU28" s="193"/>
      <c r="DV28" s="193"/>
      <c r="DW28" s="193"/>
      <c r="DX28" s="193"/>
      <c r="DY28" s="193"/>
      <c r="DZ28" s="193"/>
      <c r="EA28" s="193"/>
      <c r="EB28" s="193"/>
      <c r="EC28" s="193"/>
      <c r="ED28" s="193"/>
      <c r="EE28" s="193"/>
      <c r="EF28" s="193"/>
      <c r="EG28" s="193"/>
      <c r="EH28" s="193"/>
      <c r="EI28" s="193"/>
      <c r="EJ28" s="193"/>
      <c r="EK28" s="193"/>
      <c r="EL28" s="193"/>
      <c r="EM28" s="193"/>
      <c r="EN28" s="193"/>
      <c r="EO28" s="193"/>
      <c r="EP28" s="193"/>
      <c r="EQ28" s="193"/>
      <c r="ER28" s="193"/>
      <c r="ES28" s="193"/>
      <c r="ET28" s="193"/>
      <c r="EU28" s="193"/>
      <c r="EV28" s="193"/>
      <c r="EW28" s="193"/>
      <c r="EX28" s="193"/>
      <c r="EY28" s="193"/>
      <c r="EZ28" s="193"/>
      <c r="FA28" s="193"/>
      <c r="FB28" s="193"/>
      <c r="FC28" s="193"/>
      <c r="FD28" s="193"/>
      <c r="FE28" s="193"/>
      <c r="FF28" s="193"/>
      <c r="FG28" s="193"/>
      <c r="FH28" s="193"/>
      <c r="FI28" s="193"/>
      <c r="FJ28" s="193"/>
      <c r="FK28" s="193"/>
      <c r="FL28" s="193"/>
      <c r="FM28" s="193"/>
      <c r="FN28" s="193"/>
      <c r="FO28" s="193"/>
      <c r="FP28" s="193"/>
      <c r="FQ28" s="193"/>
      <c r="FR28" s="193"/>
      <c r="FS28" s="193"/>
      <c r="FT28" s="193"/>
      <c r="FU28" s="193"/>
      <c r="FV28" s="193"/>
      <c r="FW28" s="193"/>
      <c r="FX28" s="193"/>
      <c r="FY28" s="193"/>
      <c r="FZ28" s="193"/>
      <c r="GA28" s="193"/>
      <c r="GB28" s="193"/>
      <c r="GC28" s="193"/>
      <c r="GD28" s="193"/>
      <c r="GE28" s="193"/>
      <c r="GF28" s="193"/>
      <c r="GG28" s="193"/>
      <c r="GH28" s="193"/>
      <c r="GI28" s="193"/>
      <c r="GJ28" s="193"/>
      <c r="GK28" s="193"/>
      <c r="GL28" s="193"/>
      <c r="GM28" s="193"/>
      <c r="GN28" s="193"/>
      <c r="GO28" s="193"/>
      <c r="GP28" s="193"/>
      <c r="GQ28" s="193"/>
      <c r="GR28" s="193"/>
      <c r="GS28" s="193"/>
      <c r="GT28" s="193"/>
      <c r="GU28" s="193"/>
      <c r="GV28" s="193"/>
      <c r="GW28" s="193"/>
      <c r="GX28" s="193"/>
      <c r="GY28" s="193"/>
      <c r="GZ28" s="193"/>
      <c r="HA28" s="193"/>
      <c r="HB28" s="193"/>
      <c r="HC28" s="193"/>
      <c r="HD28" s="193"/>
      <c r="HE28" s="193"/>
      <c r="HF28" s="193"/>
      <c r="HG28" s="193"/>
      <c r="HH28" s="193"/>
      <c r="HI28" s="193"/>
      <c r="HJ28" s="193"/>
      <c r="HK28" s="193"/>
      <c r="HL28" s="193"/>
      <c r="HM28" s="193"/>
      <c r="HN28" s="193"/>
      <c r="HO28" s="193"/>
      <c r="HP28" s="193"/>
      <c r="HQ28" s="193"/>
      <c r="HR28" s="193"/>
      <c r="HS28" s="193"/>
      <c r="HT28" s="193"/>
      <c r="HU28" s="193"/>
      <c r="HV28" s="193"/>
      <c r="HW28" s="193"/>
      <c r="HX28" s="193"/>
      <c r="HY28" s="193"/>
      <c r="HZ28" s="193"/>
      <c r="IA28" s="193"/>
      <c r="IB28" s="193"/>
      <c r="IC28" s="193"/>
      <c r="ID28" s="193"/>
      <c r="IE28" s="193"/>
      <c r="IF28" s="193"/>
      <c r="IG28" s="193"/>
      <c r="IH28" s="193"/>
      <c r="II28" s="193"/>
      <c r="IJ28" s="193"/>
      <c r="IK28" s="193"/>
      <c r="IL28" s="193"/>
      <c r="IM28" s="193"/>
      <c r="IN28" s="193"/>
      <c r="IO28" s="193"/>
      <c r="IP28" s="193"/>
      <c r="IQ28" s="193"/>
      <c r="IR28" s="193"/>
      <c r="IS28" s="193"/>
      <c r="IT28" s="193"/>
      <c r="IU28" s="193"/>
      <c r="IV28" s="193"/>
    </row>
    <row r="29" spans="1:256" customFormat="1" ht="21" customHeight="1">
      <c r="A29" s="35" t="s">
        <v>944</v>
      </c>
      <c r="B29" s="23"/>
      <c r="C29" s="46"/>
      <c r="D29" s="198"/>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3"/>
      <c r="BW29" s="193"/>
      <c r="BX29" s="193"/>
      <c r="BY29" s="193"/>
      <c r="BZ29" s="193"/>
      <c r="CA29" s="193"/>
      <c r="CB29" s="193"/>
      <c r="CC29" s="193"/>
      <c r="CD29" s="193"/>
      <c r="CE29" s="193"/>
      <c r="CF29" s="193"/>
      <c r="CG29" s="193"/>
      <c r="CH29" s="193"/>
      <c r="CI29" s="193"/>
      <c r="CJ29" s="193"/>
      <c r="CK29" s="193"/>
      <c r="CL29" s="193"/>
      <c r="CM29" s="193"/>
      <c r="CN29" s="193"/>
      <c r="CO29" s="193"/>
      <c r="CP29" s="193"/>
      <c r="CQ29" s="193"/>
      <c r="CR29" s="193"/>
      <c r="CS29" s="193"/>
      <c r="CT29" s="193"/>
      <c r="CU29" s="193"/>
      <c r="CV29" s="193"/>
      <c r="CW29" s="193"/>
      <c r="CX29" s="193"/>
      <c r="CY29" s="193"/>
      <c r="CZ29" s="193"/>
      <c r="DA29" s="193"/>
      <c r="DB29" s="193"/>
      <c r="DC29" s="193"/>
      <c r="DD29" s="193"/>
      <c r="DE29" s="193"/>
      <c r="DF29" s="193"/>
      <c r="DG29" s="193"/>
      <c r="DH29" s="193"/>
      <c r="DI29" s="193"/>
      <c r="DJ29" s="193"/>
      <c r="DK29" s="193"/>
      <c r="DL29" s="193"/>
      <c r="DM29" s="193"/>
      <c r="DN29" s="193"/>
      <c r="DO29" s="193"/>
      <c r="DP29" s="193"/>
      <c r="DQ29" s="193"/>
      <c r="DR29" s="193"/>
      <c r="DS29" s="193"/>
      <c r="DT29" s="193"/>
      <c r="DU29" s="193"/>
      <c r="DV29" s="193"/>
      <c r="DW29" s="193"/>
      <c r="DX29" s="193"/>
      <c r="DY29" s="193"/>
      <c r="DZ29" s="193"/>
      <c r="EA29" s="193"/>
      <c r="EB29" s="193"/>
      <c r="EC29" s="193"/>
      <c r="ED29" s="193"/>
      <c r="EE29" s="193"/>
      <c r="EF29" s="193"/>
      <c r="EG29" s="193"/>
      <c r="EH29" s="193"/>
      <c r="EI29" s="193"/>
      <c r="EJ29" s="193"/>
      <c r="EK29" s="193"/>
      <c r="EL29" s="193"/>
      <c r="EM29" s="193"/>
      <c r="EN29" s="193"/>
      <c r="EO29" s="193"/>
      <c r="EP29" s="193"/>
      <c r="EQ29" s="193"/>
      <c r="ER29" s="193"/>
      <c r="ES29" s="193"/>
      <c r="ET29" s="193"/>
      <c r="EU29" s="193"/>
      <c r="EV29" s="193"/>
      <c r="EW29" s="193"/>
      <c r="EX29" s="193"/>
      <c r="EY29" s="193"/>
      <c r="EZ29" s="193"/>
      <c r="FA29" s="193"/>
      <c r="FB29" s="193"/>
      <c r="FC29" s="193"/>
      <c r="FD29" s="193"/>
      <c r="FE29" s="193"/>
      <c r="FF29" s="193"/>
      <c r="FG29" s="193"/>
      <c r="FH29" s="193"/>
      <c r="FI29" s="193"/>
      <c r="FJ29" s="193"/>
      <c r="FK29" s="193"/>
      <c r="FL29" s="193"/>
      <c r="FM29" s="193"/>
      <c r="FN29" s="193"/>
      <c r="FO29" s="193"/>
      <c r="FP29" s="193"/>
      <c r="FQ29" s="193"/>
      <c r="FR29" s="193"/>
      <c r="FS29" s="193"/>
      <c r="FT29" s="193"/>
      <c r="FU29" s="193"/>
      <c r="FV29" s="193"/>
      <c r="FW29" s="193"/>
      <c r="FX29" s="193"/>
      <c r="FY29" s="193"/>
      <c r="FZ29" s="193"/>
      <c r="GA29" s="193"/>
      <c r="GB29" s="193"/>
      <c r="GC29" s="193"/>
      <c r="GD29" s="193"/>
      <c r="GE29" s="193"/>
      <c r="GF29" s="193"/>
      <c r="GG29" s="193"/>
      <c r="GH29" s="193"/>
      <c r="GI29" s="193"/>
      <c r="GJ29" s="193"/>
      <c r="GK29" s="193"/>
      <c r="GL29" s="193"/>
      <c r="GM29" s="193"/>
      <c r="GN29" s="193"/>
      <c r="GO29" s="193"/>
      <c r="GP29" s="193"/>
      <c r="GQ29" s="193"/>
      <c r="GR29" s="193"/>
      <c r="GS29" s="193"/>
      <c r="GT29" s="193"/>
      <c r="GU29" s="193"/>
      <c r="GV29" s="193"/>
      <c r="GW29" s="193"/>
      <c r="GX29" s="193"/>
      <c r="GY29" s="193"/>
      <c r="GZ29" s="193"/>
      <c r="HA29" s="193"/>
      <c r="HB29" s="193"/>
      <c r="HC29" s="193"/>
      <c r="HD29" s="193"/>
      <c r="HE29" s="193"/>
      <c r="HF29" s="193"/>
      <c r="HG29" s="193"/>
      <c r="HH29" s="193"/>
      <c r="HI29" s="193"/>
      <c r="HJ29" s="193"/>
      <c r="HK29" s="193"/>
      <c r="HL29" s="193"/>
      <c r="HM29" s="193"/>
      <c r="HN29" s="193"/>
      <c r="HO29" s="193"/>
      <c r="HP29" s="193"/>
      <c r="HQ29" s="193"/>
      <c r="HR29" s="193"/>
      <c r="HS29" s="193"/>
      <c r="HT29" s="193"/>
      <c r="HU29" s="193"/>
      <c r="HV29" s="193"/>
      <c r="HW29" s="193"/>
      <c r="HX29" s="193"/>
      <c r="HY29" s="193"/>
      <c r="HZ29" s="193"/>
      <c r="IA29" s="193"/>
      <c r="IB29" s="193"/>
      <c r="IC29" s="193"/>
      <c r="ID29" s="193"/>
      <c r="IE29" s="193"/>
      <c r="IF29" s="193"/>
      <c r="IG29" s="193"/>
      <c r="IH29" s="193"/>
      <c r="II29" s="193"/>
      <c r="IJ29" s="193"/>
      <c r="IK29" s="193"/>
      <c r="IL29" s="193"/>
      <c r="IM29" s="193"/>
      <c r="IN29" s="193"/>
      <c r="IO29" s="193"/>
      <c r="IP29" s="193"/>
      <c r="IQ29" s="193"/>
      <c r="IR29" s="193"/>
      <c r="IS29" s="193"/>
      <c r="IT29" s="193"/>
      <c r="IU29" s="193"/>
      <c r="IV29" s="193"/>
    </row>
    <row r="30" spans="1:256" customFormat="1" ht="21" customHeight="1">
      <c r="A30" s="35" t="s">
        <v>945</v>
      </c>
      <c r="B30" s="23"/>
      <c r="C30" s="46">
        <v>10000</v>
      </c>
      <c r="D30" s="198"/>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c r="CD30" s="193"/>
      <c r="CE30" s="193"/>
      <c r="CF30" s="193"/>
      <c r="CG30" s="193"/>
      <c r="CH30" s="193"/>
      <c r="CI30" s="193"/>
      <c r="CJ30" s="193"/>
      <c r="CK30" s="193"/>
      <c r="CL30" s="193"/>
      <c r="CM30" s="193"/>
      <c r="CN30" s="193"/>
      <c r="CO30" s="193"/>
      <c r="CP30" s="193"/>
      <c r="CQ30" s="193"/>
      <c r="CR30" s="193"/>
      <c r="CS30" s="193"/>
      <c r="CT30" s="193"/>
      <c r="CU30" s="193"/>
      <c r="CV30" s="193"/>
      <c r="CW30" s="193"/>
      <c r="CX30" s="193"/>
      <c r="CY30" s="193"/>
      <c r="CZ30" s="193"/>
      <c r="DA30" s="193"/>
      <c r="DB30" s="193"/>
      <c r="DC30" s="193"/>
      <c r="DD30" s="193"/>
      <c r="DE30" s="193"/>
      <c r="DF30" s="193"/>
      <c r="DG30" s="193"/>
      <c r="DH30" s="193"/>
      <c r="DI30" s="193"/>
      <c r="DJ30" s="193"/>
      <c r="DK30" s="193"/>
      <c r="DL30" s="193"/>
      <c r="DM30" s="193"/>
      <c r="DN30" s="193"/>
      <c r="DO30" s="193"/>
      <c r="DP30" s="193"/>
      <c r="DQ30" s="193"/>
      <c r="DR30" s="193"/>
      <c r="DS30" s="193"/>
      <c r="DT30" s="193"/>
      <c r="DU30" s="193"/>
      <c r="DV30" s="193"/>
      <c r="DW30" s="193"/>
      <c r="DX30" s="193"/>
      <c r="DY30" s="193"/>
      <c r="DZ30" s="193"/>
      <c r="EA30" s="193"/>
      <c r="EB30" s="193"/>
      <c r="EC30" s="193"/>
      <c r="ED30" s="193"/>
      <c r="EE30" s="193"/>
      <c r="EF30" s="193"/>
      <c r="EG30" s="193"/>
      <c r="EH30" s="193"/>
      <c r="EI30" s="193"/>
      <c r="EJ30" s="193"/>
      <c r="EK30" s="193"/>
      <c r="EL30" s="193"/>
      <c r="EM30" s="193"/>
      <c r="EN30" s="193"/>
      <c r="EO30" s="193"/>
      <c r="EP30" s="193"/>
      <c r="EQ30" s="193"/>
      <c r="ER30" s="193"/>
      <c r="ES30" s="193"/>
      <c r="ET30" s="193"/>
      <c r="EU30" s="193"/>
      <c r="EV30" s="193"/>
      <c r="EW30" s="193"/>
      <c r="EX30" s="193"/>
      <c r="EY30" s="193"/>
      <c r="EZ30" s="193"/>
      <c r="FA30" s="193"/>
      <c r="FB30" s="193"/>
      <c r="FC30" s="193"/>
      <c r="FD30" s="193"/>
      <c r="FE30" s="193"/>
      <c r="FF30" s="193"/>
      <c r="FG30" s="193"/>
      <c r="FH30" s="193"/>
      <c r="FI30" s="193"/>
      <c r="FJ30" s="193"/>
      <c r="FK30" s="193"/>
      <c r="FL30" s="193"/>
      <c r="FM30" s="193"/>
      <c r="FN30" s="193"/>
      <c r="FO30" s="193"/>
      <c r="FP30" s="193"/>
      <c r="FQ30" s="193"/>
      <c r="FR30" s="193"/>
      <c r="FS30" s="193"/>
      <c r="FT30" s="193"/>
      <c r="FU30" s="193"/>
      <c r="FV30" s="193"/>
      <c r="FW30" s="193"/>
      <c r="FX30" s="193"/>
      <c r="FY30" s="193"/>
      <c r="FZ30" s="193"/>
      <c r="GA30" s="193"/>
      <c r="GB30" s="193"/>
      <c r="GC30" s="193"/>
      <c r="GD30" s="193"/>
      <c r="GE30" s="193"/>
      <c r="GF30" s="193"/>
      <c r="GG30" s="193"/>
      <c r="GH30" s="193"/>
      <c r="GI30" s="193"/>
      <c r="GJ30" s="193"/>
      <c r="GK30" s="193"/>
      <c r="GL30" s="193"/>
      <c r="GM30" s="193"/>
      <c r="GN30" s="193"/>
      <c r="GO30" s="193"/>
      <c r="GP30" s="193"/>
      <c r="GQ30" s="193"/>
      <c r="GR30" s="193"/>
      <c r="GS30" s="193"/>
      <c r="GT30" s="193"/>
      <c r="GU30" s="193"/>
      <c r="GV30" s="193"/>
      <c r="GW30" s="193"/>
      <c r="GX30" s="193"/>
      <c r="GY30" s="193"/>
      <c r="GZ30" s="193"/>
      <c r="HA30" s="193"/>
      <c r="HB30" s="193"/>
      <c r="HC30" s="193"/>
      <c r="HD30" s="193"/>
      <c r="HE30" s="193"/>
      <c r="HF30" s="193"/>
      <c r="HG30" s="193"/>
      <c r="HH30" s="193"/>
      <c r="HI30" s="193"/>
      <c r="HJ30" s="193"/>
      <c r="HK30" s="193"/>
      <c r="HL30" s="193"/>
      <c r="HM30" s="193"/>
      <c r="HN30" s="193"/>
      <c r="HO30" s="193"/>
      <c r="HP30" s="193"/>
      <c r="HQ30" s="193"/>
      <c r="HR30" s="193"/>
      <c r="HS30" s="193"/>
      <c r="HT30" s="193"/>
      <c r="HU30" s="193"/>
      <c r="HV30" s="193"/>
      <c r="HW30" s="193"/>
      <c r="HX30" s="193"/>
      <c r="HY30" s="193"/>
      <c r="HZ30" s="193"/>
      <c r="IA30" s="193"/>
      <c r="IB30" s="193"/>
      <c r="IC30" s="193"/>
      <c r="ID30" s="193"/>
      <c r="IE30" s="193"/>
      <c r="IF30" s="193"/>
      <c r="IG30" s="193"/>
      <c r="IH30" s="193"/>
      <c r="II30" s="193"/>
      <c r="IJ30" s="193"/>
      <c r="IK30" s="193"/>
      <c r="IL30" s="193"/>
      <c r="IM30" s="193"/>
      <c r="IN30" s="193"/>
      <c r="IO30" s="193"/>
      <c r="IP30" s="193"/>
      <c r="IQ30" s="193"/>
      <c r="IR30" s="193"/>
      <c r="IS30" s="193"/>
      <c r="IT30" s="193"/>
      <c r="IU30" s="193"/>
      <c r="IV30" s="193"/>
    </row>
    <row r="31" spans="1:256" customFormat="1" ht="21" customHeight="1">
      <c r="A31" s="208"/>
      <c r="B31" s="23"/>
      <c r="C31" s="46"/>
      <c r="D31" s="198"/>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3"/>
      <c r="BQ31" s="193"/>
      <c r="BR31" s="193"/>
      <c r="BS31" s="193"/>
      <c r="BT31" s="193"/>
      <c r="BU31" s="193"/>
      <c r="BV31" s="193"/>
      <c r="BW31" s="193"/>
      <c r="BX31" s="193"/>
      <c r="BY31" s="193"/>
      <c r="BZ31" s="193"/>
      <c r="CA31" s="193"/>
      <c r="CB31" s="193"/>
      <c r="CC31" s="193"/>
      <c r="CD31" s="193"/>
      <c r="CE31" s="193"/>
      <c r="CF31" s="193"/>
      <c r="CG31" s="193"/>
      <c r="CH31" s="193"/>
      <c r="CI31" s="193"/>
      <c r="CJ31" s="193"/>
      <c r="CK31" s="193"/>
      <c r="CL31" s="193"/>
      <c r="CM31" s="193"/>
      <c r="CN31" s="193"/>
      <c r="CO31" s="193"/>
      <c r="CP31" s="193"/>
      <c r="CQ31" s="193"/>
      <c r="CR31" s="193"/>
      <c r="CS31" s="193"/>
      <c r="CT31" s="193"/>
      <c r="CU31" s="193"/>
      <c r="CV31" s="193"/>
      <c r="CW31" s="193"/>
      <c r="CX31" s="193"/>
      <c r="CY31" s="193"/>
      <c r="CZ31" s="193"/>
      <c r="DA31" s="193"/>
      <c r="DB31" s="193"/>
      <c r="DC31" s="193"/>
      <c r="DD31" s="193"/>
      <c r="DE31" s="193"/>
      <c r="DF31" s="193"/>
      <c r="DG31" s="193"/>
      <c r="DH31" s="193"/>
      <c r="DI31" s="193"/>
      <c r="DJ31" s="193"/>
      <c r="DK31" s="193"/>
      <c r="DL31" s="193"/>
      <c r="DM31" s="193"/>
      <c r="DN31" s="193"/>
      <c r="DO31" s="193"/>
      <c r="DP31" s="193"/>
      <c r="DQ31" s="193"/>
      <c r="DR31" s="193"/>
      <c r="DS31" s="193"/>
      <c r="DT31" s="193"/>
      <c r="DU31" s="193"/>
      <c r="DV31" s="193"/>
      <c r="DW31" s="193"/>
      <c r="DX31" s="193"/>
      <c r="DY31" s="193"/>
      <c r="DZ31" s="193"/>
      <c r="EA31" s="193"/>
      <c r="EB31" s="193"/>
      <c r="EC31" s="193"/>
      <c r="ED31" s="193"/>
      <c r="EE31" s="193"/>
      <c r="EF31" s="193"/>
      <c r="EG31" s="193"/>
      <c r="EH31" s="193"/>
      <c r="EI31" s="193"/>
      <c r="EJ31" s="193"/>
      <c r="EK31" s="193"/>
      <c r="EL31" s="193"/>
      <c r="EM31" s="193"/>
      <c r="EN31" s="193"/>
      <c r="EO31" s="193"/>
      <c r="EP31" s="193"/>
      <c r="EQ31" s="193"/>
      <c r="ER31" s="193"/>
      <c r="ES31" s="193"/>
      <c r="ET31" s="193"/>
      <c r="EU31" s="193"/>
      <c r="EV31" s="193"/>
      <c r="EW31" s="193"/>
      <c r="EX31" s="193"/>
      <c r="EY31" s="193"/>
      <c r="EZ31" s="193"/>
      <c r="FA31" s="193"/>
      <c r="FB31" s="193"/>
      <c r="FC31" s="193"/>
      <c r="FD31" s="193"/>
      <c r="FE31" s="193"/>
      <c r="FF31" s="193"/>
      <c r="FG31" s="193"/>
      <c r="FH31" s="193"/>
      <c r="FI31" s="193"/>
      <c r="FJ31" s="193"/>
      <c r="FK31" s="193"/>
      <c r="FL31" s="193"/>
      <c r="FM31" s="193"/>
      <c r="FN31" s="193"/>
      <c r="FO31" s="193"/>
      <c r="FP31" s="193"/>
      <c r="FQ31" s="193"/>
      <c r="FR31" s="193"/>
      <c r="FS31" s="193"/>
      <c r="FT31" s="193"/>
      <c r="FU31" s="193"/>
      <c r="FV31" s="193"/>
      <c r="FW31" s="193"/>
      <c r="FX31" s="193"/>
      <c r="FY31" s="193"/>
      <c r="FZ31" s="193"/>
      <c r="GA31" s="193"/>
      <c r="GB31" s="193"/>
      <c r="GC31" s="193"/>
      <c r="GD31" s="193"/>
      <c r="GE31" s="193"/>
      <c r="GF31" s="193"/>
      <c r="GG31" s="193"/>
      <c r="GH31" s="193"/>
      <c r="GI31" s="193"/>
      <c r="GJ31" s="193"/>
      <c r="GK31" s="193"/>
      <c r="GL31" s="193"/>
      <c r="GM31" s="193"/>
      <c r="GN31" s="193"/>
      <c r="GO31" s="193"/>
      <c r="GP31" s="193"/>
      <c r="GQ31" s="193"/>
      <c r="GR31" s="193"/>
      <c r="GS31" s="193"/>
      <c r="GT31" s="193"/>
      <c r="GU31" s="193"/>
      <c r="GV31" s="193"/>
      <c r="GW31" s="193"/>
      <c r="GX31" s="193"/>
      <c r="GY31" s="193"/>
      <c r="GZ31" s="193"/>
      <c r="HA31" s="193"/>
      <c r="HB31" s="193"/>
      <c r="HC31" s="193"/>
      <c r="HD31" s="193"/>
      <c r="HE31" s="193"/>
      <c r="HF31" s="193"/>
      <c r="HG31" s="193"/>
      <c r="HH31" s="193"/>
      <c r="HI31" s="193"/>
      <c r="HJ31" s="193"/>
      <c r="HK31" s="193"/>
      <c r="HL31" s="193"/>
      <c r="HM31" s="193"/>
      <c r="HN31" s="193"/>
      <c r="HO31" s="193"/>
      <c r="HP31" s="193"/>
      <c r="HQ31" s="193"/>
      <c r="HR31" s="193"/>
      <c r="HS31" s="193"/>
      <c r="HT31" s="193"/>
      <c r="HU31" s="193"/>
      <c r="HV31" s="193"/>
      <c r="HW31" s="193"/>
      <c r="HX31" s="193"/>
      <c r="HY31" s="193"/>
      <c r="HZ31" s="193"/>
      <c r="IA31" s="193"/>
      <c r="IB31" s="193"/>
      <c r="IC31" s="193"/>
      <c r="ID31" s="193"/>
      <c r="IE31" s="193"/>
      <c r="IF31" s="193"/>
      <c r="IG31" s="193"/>
      <c r="IH31" s="193"/>
      <c r="II31" s="193"/>
      <c r="IJ31" s="193"/>
      <c r="IK31" s="193"/>
      <c r="IL31" s="193"/>
      <c r="IM31" s="193"/>
      <c r="IN31" s="193"/>
      <c r="IO31" s="193"/>
      <c r="IP31" s="193"/>
      <c r="IQ31" s="193"/>
      <c r="IR31" s="193"/>
      <c r="IS31" s="193"/>
      <c r="IT31" s="193"/>
      <c r="IU31" s="193"/>
      <c r="IV31" s="193"/>
    </row>
    <row r="32" spans="1:256" customFormat="1" ht="21" customHeight="1">
      <c r="A32" s="37" t="s">
        <v>852</v>
      </c>
      <c r="B32" s="23">
        <f>SUM(B26:B31)</f>
        <v>189982</v>
      </c>
      <c r="C32" s="46">
        <f>SUM(C26:C31)</f>
        <v>267726</v>
      </c>
      <c r="D32" s="198">
        <f>+(C32-B32)/B32*100</f>
        <v>40.921771536250802</v>
      </c>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c r="BS32" s="193"/>
      <c r="BT32" s="193"/>
      <c r="BU32" s="193"/>
      <c r="BV32" s="193"/>
      <c r="BW32" s="193"/>
      <c r="BX32" s="193"/>
      <c r="BY32" s="193"/>
      <c r="BZ32" s="193"/>
      <c r="CA32" s="193"/>
      <c r="CB32" s="193"/>
      <c r="CC32" s="193"/>
      <c r="CD32" s="193"/>
      <c r="CE32" s="193"/>
      <c r="CF32" s="193"/>
      <c r="CG32" s="193"/>
      <c r="CH32" s="193"/>
      <c r="CI32" s="193"/>
      <c r="CJ32" s="193"/>
      <c r="CK32" s="193"/>
      <c r="CL32" s="193"/>
      <c r="CM32" s="193"/>
      <c r="CN32" s="193"/>
      <c r="CO32" s="193"/>
      <c r="CP32" s="193"/>
      <c r="CQ32" s="193"/>
      <c r="CR32" s="193"/>
      <c r="CS32" s="193"/>
      <c r="CT32" s="193"/>
      <c r="CU32" s="193"/>
      <c r="CV32" s="193"/>
      <c r="CW32" s="193"/>
      <c r="CX32" s="193"/>
      <c r="CY32" s="193"/>
      <c r="CZ32" s="193"/>
      <c r="DA32" s="193"/>
      <c r="DB32" s="193"/>
      <c r="DC32" s="193"/>
      <c r="DD32" s="193"/>
      <c r="DE32" s="193"/>
      <c r="DF32" s="193"/>
      <c r="DG32" s="193"/>
      <c r="DH32" s="193"/>
      <c r="DI32" s="193"/>
      <c r="DJ32" s="193"/>
      <c r="DK32" s="193"/>
      <c r="DL32" s="193"/>
      <c r="DM32" s="193"/>
      <c r="DN32" s="193"/>
      <c r="DO32" s="193"/>
      <c r="DP32" s="193"/>
      <c r="DQ32" s="193"/>
      <c r="DR32" s="193"/>
      <c r="DS32" s="193"/>
      <c r="DT32" s="193"/>
      <c r="DU32" s="193"/>
      <c r="DV32" s="193"/>
      <c r="DW32" s="193"/>
      <c r="DX32" s="193"/>
      <c r="DY32" s="193"/>
      <c r="DZ32" s="193"/>
      <c r="EA32" s="193"/>
      <c r="EB32" s="193"/>
      <c r="EC32" s="193"/>
      <c r="ED32" s="193"/>
      <c r="EE32" s="193"/>
      <c r="EF32" s="193"/>
      <c r="EG32" s="193"/>
      <c r="EH32" s="193"/>
      <c r="EI32" s="193"/>
      <c r="EJ32" s="193"/>
      <c r="EK32" s="193"/>
      <c r="EL32" s="193"/>
      <c r="EM32" s="193"/>
      <c r="EN32" s="193"/>
      <c r="EO32" s="193"/>
      <c r="EP32" s="193"/>
      <c r="EQ32" s="193"/>
      <c r="ER32" s="193"/>
      <c r="ES32" s="193"/>
      <c r="ET32" s="193"/>
      <c r="EU32" s="193"/>
      <c r="EV32" s="193"/>
      <c r="EW32" s="193"/>
      <c r="EX32" s="193"/>
      <c r="EY32" s="193"/>
      <c r="EZ32" s="193"/>
      <c r="FA32" s="193"/>
      <c r="FB32" s="193"/>
      <c r="FC32" s="193"/>
      <c r="FD32" s="193"/>
      <c r="FE32" s="193"/>
      <c r="FF32" s="193"/>
      <c r="FG32" s="193"/>
      <c r="FH32" s="193"/>
      <c r="FI32" s="193"/>
      <c r="FJ32" s="193"/>
      <c r="FK32" s="193"/>
      <c r="FL32" s="193"/>
      <c r="FM32" s="193"/>
      <c r="FN32" s="193"/>
      <c r="FO32" s="193"/>
      <c r="FP32" s="193"/>
      <c r="FQ32" s="193"/>
      <c r="FR32" s="193"/>
      <c r="FS32" s="193"/>
      <c r="FT32" s="193"/>
      <c r="FU32" s="193"/>
      <c r="FV32" s="193"/>
      <c r="FW32" s="193"/>
      <c r="FX32" s="193"/>
      <c r="FY32" s="193"/>
      <c r="FZ32" s="193"/>
      <c r="GA32" s="193"/>
      <c r="GB32" s="193"/>
      <c r="GC32" s="193"/>
      <c r="GD32" s="193"/>
      <c r="GE32" s="193"/>
      <c r="GF32" s="193"/>
      <c r="GG32" s="193"/>
      <c r="GH32" s="193"/>
      <c r="GI32" s="193"/>
      <c r="GJ32" s="193"/>
      <c r="GK32" s="193"/>
      <c r="GL32" s="193"/>
      <c r="GM32" s="193"/>
      <c r="GN32" s="193"/>
      <c r="GO32" s="193"/>
      <c r="GP32" s="193"/>
      <c r="GQ32" s="193"/>
      <c r="GR32" s="193"/>
      <c r="GS32" s="193"/>
      <c r="GT32" s="193"/>
      <c r="GU32" s="193"/>
      <c r="GV32" s="193"/>
      <c r="GW32" s="193"/>
      <c r="GX32" s="193"/>
      <c r="GY32" s="193"/>
      <c r="GZ32" s="193"/>
      <c r="HA32" s="193"/>
      <c r="HB32" s="193"/>
      <c r="HC32" s="193"/>
      <c r="HD32" s="193"/>
      <c r="HE32" s="193"/>
      <c r="HF32" s="193"/>
      <c r="HG32" s="193"/>
      <c r="HH32" s="193"/>
      <c r="HI32" s="193"/>
      <c r="HJ32" s="193"/>
      <c r="HK32" s="193"/>
      <c r="HL32" s="193"/>
      <c r="HM32" s="193"/>
      <c r="HN32" s="193"/>
      <c r="HO32" s="193"/>
      <c r="HP32" s="193"/>
      <c r="HQ32" s="193"/>
      <c r="HR32" s="193"/>
      <c r="HS32" s="193"/>
      <c r="HT32" s="193"/>
      <c r="HU32" s="193"/>
      <c r="HV32" s="193"/>
      <c r="HW32" s="193"/>
      <c r="HX32" s="193"/>
      <c r="HY32" s="193"/>
      <c r="HZ32" s="193"/>
      <c r="IA32" s="193"/>
      <c r="IB32" s="193"/>
      <c r="IC32" s="193"/>
      <c r="ID32" s="193"/>
      <c r="IE32" s="193"/>
      <c r="IF32" s="193"/>
      <c r="IG32" s="193"/>
      <c r="IH32" s="193"/>
      <c r="II32" s="193"/>
      <c r="IJ32" s="193"/>
      <c r="IK32" s="193"/>
      <c r="IL32" s="193"/>
      <c r="IM32" s="193"/>
      <c r="IN32" s="193"/>
      <c r="IO32" s="193"/>
      <c r="IP32" s="193"/>
      <c r="IQ32" s="193"/>
      <c r="IR32" s="193"/>
      <c r="IS32" s="193"/>
      <c r="IT32" s="193"/>
      <c r="IU32" s="193"/>
      <c r="IV32" s="193"/>
    </row>
    <row r="33" spans="1:256" ht="27" customHeight="1">
      <c r="A33" s="551" t="s">
        <v>923</v>
      </c>
      <c r="B33" s="551"/>
      <c r="C33" s="551"/>
      <c r="D33" s="551"/>
      <c r="IV33"/>
    </row>
    <row r="34" spans="1:256" ht="26.1" customHeight="1">
      <c r="A34" s="548" t="s">
        <v>946</v>
      </c>
      <c r="B34" s="548"/>
      <c r="C34" s="548"/>
      <c r="D34" s="548"/>
    </row>
  </sheetData>
  <mergeCells count="3">
    <mergeCell ref="A1:D1"/>
    <mergeCell ref="A33:D33"/>
    <mergeCell ref="A34:D34"/>
  </mergeCells>
  <phoneticPr fontId="2" type="noConversion"/>
  <printOptions horizontalCentered="1"/>
  <pageMargins left="0.79027777777777797" right="0.79027777777777797" top="0.97916666666666696" bottom="0.97916666666666696" header="0.2" footer="0.79027777777777797"/>
  <pageSetup paperSize="9" firstPageNumber="20" orientation="portrait" useFirstPageNumber="1"/>
  <headerFooter alignWithMargins="0">
    <oddFooter>&amp;C第 &amp;P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26"/>
  <sheetViews>
    <sheetView workbookViewId="0">
      <selection activeCell="N15" sqref="N15"/>
    </sheetView>
  </sheetViews>
  <sheetFormatPr defaultColWidth="9" defaultRowHeight="14.25"/>
  <cols>
    <col min="1" max="1" width="34.625" customWidth="1"/>
    <col min="2" max="4" width="33.25" customWidth="1"/>
    <col min="6" max="11" width="9" hidden="1" customWidth="1"/>
  </cols>
  <sheetData>
    <row r="1" spans="1:4" ht="37.5" customHeight="1">
      <c r="A1" s="573" t="s">
        <v>46</v>
      </c>
      <c r="B1" s="573"/>
      <c r="C1" s="573"/>
      <c r="D1" s="573"/>
    </row>
    <row r="2" spans="1:4" ht="17.25" customHeight="1">
      <c r="A2" s="159"/>
      <c r="B2" s="159"/>
      <c r="C2" s="159"/>
      <c r="D2" s="184" t="s">
        <v>210</v>
      </c>
    </row>
    <row r="3" spans="1:4" ht="22.5" customHeight="1">
      <c r="A3" s="574" t="s">
        <v>947</v>
      </c>
      <c r="B3" s="574"/>
      <c r="C3" s="574" t="s">
        <v>948</v>
      </c>
      <c r="D3" s="574"/>
    </row>
    <row r="4" spans="1:4" s="182" customFormat="1" ht="22.5" customHeight="1">
      <c r="A4" s="185" t="s">
        <v>949</v>
      </c>
      <c r="B4" s="185" t="s">
        <v>950</v>
      </c>
      <c r="C4" s="185" t="s">
        <v>949</v>
      </c>
      <c r="D4" s="185" t="s">
        <v>950</v>
      </c>
    </row>
    <row r="5" spans="1:4" ht="22.5" customHeight="1">
      <c r="A5" s="172" t="s">
        <v>216</v>
      </c>
      <c r="B5" s="176">
        <f>+B6+B8</f>
        <v>1086</v>
      </c>
      <c r="C5" s="172" t="s">
        <v>951</v>
      </c>
      <c r="D5" s="176"/>
    </row>
    <row r="6" spans="1:4" ht="22.5" customHeight="1">
      <c r="A6" s="172" t="s">
        <v>952</v>
      </c>
      <c r="B6" s="176">
        <v>1086</v>
      </c>
      <c r="C6" s="172" t="s">
        <v>953</v>
      </c>
      <c r="D6" s="176"/>
    </row>
    <row r="7" spans="1:4" ht="22.5" customHeight="1">
      <c r="A7" s="172" t="s">
        <v>954</v>
      </c>
      <c r="B7" s="176"/>
      <c r="C7" s="172" t="s">
        <v>955</v>
      </c>
      <c r="D7" s="176"/>
    </row>
    <row r="8" spans="1:4" ht="22.5" customHeight="1">
      <c r="A8" s="172" t="s">
        <v>956</v>
      </c>
      <c r="B8" s="176"/>
      <c r="C8" s="172" t="s">
        <v>957</v>
      </c>
      <c r="D8" s="176"/>
    </row>
    <row r="9" spans="1:4" ht="22.5" customHeight="1">
      <c r="A9" s="172" t="s">
        <v>958</v>
      </c>
      <c r="B9" s="176"/>
      <c r="C9" s="172" t="s">
        <v>959</v>
      </c>
      <c r="D9" s="176"/>
    </row>
    <row r="10" spans="1:4" ht="22.5" customHeight="1">
      <c r="A10" s="186" t="s">
        <v>960</v>
      </c>
      <c r="B10" s="176"/>
      <c r="C10" s="172" t="s">
        <v>961</v>
      </c>
      <c r="D10" s="176"/>
    </row>
    <row r="11" spans="1:4" ht="22.5" customHeight="1">
      <c r="A11" s="186" t="s">
        <v>962</v>
      </c>
      <c r="B11" s="176"/>
      <c r="C11" s="172" t="s">
        <v>963</v>
      </c>
      <c r="D11" s="176"/>
    </row>
    <row r="12" spans="1:4" ht="22.5" customHeight="1">
      <c r="A12" s="187" t="s">
        <v>964</v>
      </c>
      <c r="B12" s="176"/>
      <c r="C12" s="172" t="s">
        <v>965</v>
      </c>
      <c r="D12" s="176"/>
    </row>
    <row r="13" spans="1:4" ht="22.5" customHeight="1">
      <c r="A13" s="172" t="s">
        <v>966</v>
      </c>
      <c r="B13" s="176"/>
      <c r="C13" s="172" t="s">
        <v>967</v>
      </c>
      <c r="D13" s="176"/>
    </row>
    <row r="14" spans="1:4" ht="22.5" customHeight="1">
      <c r="A14" s="172" t="s">
        <v>234</v>
      </c>
      <c r="B14" s="176"/>
      <c r="C14" s="172" t="s">
        <v>968</v>
      </c>
      <c r="D14" s="176"/>
    </row>
    <row r="15" spans="1:4" ht="22.5" customHeight="1">
      <c r="A15" s="172" t="s">
        <v>969</v>
      </c>
      <c r="B15" s="176"/>
      <c r="C15" s="172" t="s">
        <v>970</v>
      </c>
      <c r="D15" s="176">
        <v>815</v>
      </c>
    </row>
    <row r="16" spans="1:4" ht="22.5" customHeight="1">
      <c r="A16" s="172" t="s">
        <v>234</v>
      </c>
      <c r="B16" s="176"/>
      <c r="C16" s="172" t="s">
        <v>971</v>
      </c>
      <c r="D16" s="176">
        <v>271</v>
      </c>
    </row>
    <row r="17" spans="1:4" ht="22.5" customHeight="1">
      <c r="A17" s="172" t="s">
        <v>972</v>
      </c>
      <c r="B17" s="176"/>
      <c r="C17" s="172" t="s">
        <v>973</v>
      </c>
      <c r="D17" s="176">
        <v>271</v>
      </c>
    </row>
    <row r="18" spans="1:4" ht="22.5" customHeight="1">
      <c r="A18" s="172" t="s">
        <v>234</v>
      </c>
      <c r="B18" s="176"/>
      <c r="C18" s="172"/>
      <c r="D18" s="176"/>
    </row>
    <row r="19" spans="1:4" ht="22.5" customHeight="1">
      <c r="A19" s="22" t="s">
        <v>974</v>
      </c>
      <c r="B19" s="188">
        <f>B5+B9+B13+B15+B17</f>
        <v>1086</v>
      </c>
      <c r="C19" s="22" t="s">
        <v>975</v>
      </c>
      <c r="D19" s="176">
        <f>D12+D15+D17</f>
        <v>1086</v>
      </c>
    </row>
    <row r="20" spans="1:4" ht="22.5" customHeight="1">
      <c r="A20" s="189" t="s">
        <v>976</v>
      </c>
      <c r="B20" s="190"/>
      <c r="C20" s="189" t="s">
        <v>977</v>
      </c>
      <c r="D20" s="190"/>
    </row>
    <row r="21" spans="1:4" s="183" customFormat="1" ht="22.5" customHeight="1">
      <c r="A21" s="21" t="s">
        <v>978</v>
      </c>
      <c r="B21" s="176">
        <f>B19+B20</f>
        <v>1086</v>
      </c>
      <c r="C21" s="21" t="s">
        <v>979</v>
      </c>
      <c r="D21" s="176">
        <f>+D19</f>
        <v>1086</v>
      </c>
    </row>
    <row r="22" spans="1:4" s="183" customFormat="1" ht="24.95" customHeight="1">
      <c r="A22" s="575"/>
      <c r="B22" s="575"/>
      <c r="D22" s="191"/>
    </row>
    <row r="23" spans="1:4" s="183" customFormat="1"/>
    <row r="24" spans="1:4" s="183" customFormat="1"/>
    <row r="25" spans="1:4" s="183" customFormat="1"/>
    <row r="26" spans="1:4" s="183" customFormat="1"/>
  </sheetData>
  <mergeCells count="4">
    <mergeCell ref="A1:D1"/>
    <mergeCell ref="A3:B3"/>
    <mergeCell ref="C3:D3"/>
    <mergeCell ref="A22:B22"/>
  </mergeCells>
  <phoneticPr fontId="2" type="noConversion"/>
  <printOptions horizontalCentered="1"/>
  <pageMargins left="0.38888888888888901" right="0.38888888888888901" top="0.97916666666666696" bottom="0.97916666666666696" header="0.2" footer="0.79027777777777797"/>
  <pageSetup paperSize="9" scale="90" firstPageNumber="21" orientation="landscape" useFirstPageNumber="1"/>
  <headerFooter alignWithMargins="0">
    <oddFooter>&amp;C第 &amp;P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XFB27"/>
  <sheetViews>
    <sheetView workbookViewId="0">
      <selection activeCell="A7" sqref="A7"/>
    </sheetView>
  </sheetViews>
  <sheetFormatPr defaultColWidth="9" defaultRowHeight="14.25"/>
  <cols>
    <col min="1" max="1" width="87.25" style="158" customWidth="1"/>
    <col min="2" max="2" width="25.875" style="158" customWidth="1"/>
    <col min="3" max="16382" width="9" style="158"/>
  </cols>
  <sheetData>
    <row r="1" spans="1:2" ht="47.25" customHeight="1">
      <c r="A1" s="567" t="s">
        <v>48</v>
      </c>
      <c r="B1" s="567"/>
    </row>
    <row r="2" spans="1:2" s="159" customFormat="1" ht="14.25" customHeight="1">
      <c r="B2" s="175" t="s">
        <v>980</v>
      </c>
    </row>
    <row r="3" spans="1:2" s="159" customFormat="1" ht="16.5" customHeight="1">
      <c r="A3" s="161" t="s">
        <v>981</v>
      </c>
      <c r="B3" s="161" t="s">
        <v>366</v>
      </c>
    </row>
    <row r="4" spans="1:2" s="159" customFormat="1" ht="16.5" customHeight="1">
      <c r="A4" s="163" t="s">
        <v>216</v>
      </c>
      <c r="B4" s="176">
        <v>1086</v>
      </c>
    </row>
    <row r="5" spans="1:2" s="159" customFormat="1" ht="16.5" customHeight="1">
      <c r="A5" s="177" t="s">
        <v>982</v>
      </c>
      <c r="B5" s="176">
        <v>1086</v>
      </c>
    </row>
    <row r="6" spans="1:2" s="159" customFormat="1" ht="16.5" customHeight="1">
      <c r="A6" s="178" t="s">
        <v>983</v>
      </c>
      <c r="B6" s="176">
        <v>596</v>
      </c>
    </row>
    <row r="7" spans="1:2" s="159" customFormat="1" ht="16.5" customHeight="1">
      <c r="A7" s="179" t="s">
        <v>984</v>
      </c>
      <c r="B7" s="176">
        <v>465</v>
      </c>
    </row>
    <row r="8" spans="1:2" s="159" customFormat="1" ht="16.5" customHeight="1">
      <c r="A8" s="178" t="s">
        <v>985</v>
      </c>
      <c r="B8" s="176">
        <v>25</v>
      </c>
    </row>
    <row r="9" spans="1:2" s="159" customFormat="1" ht="16.5" customHeight="1">
      <c r="A9" s="180" t="s">
        <v>986</v>
      </c>
      <c r="B9" s="176"/>
    </row>
    <row r="10" spans="1:2" s="159" customFormat="1" ht="16.5" customHeight="1">
      <c r="A10" s="163" t="s">
        <v>956</v>
      </c>
      <c r="B10" s="176"/>
    </row>
    <row r="11" spans="1:2" s="159" customFormat="1" ht="16.5" customHeight="1">
      <c r="A11" s="163" t="s">
        <v>958</v>
      </c>
      <c r="B11" s="176"/>
    </row>
    <row r="12" spans="1:2" s="159" customFormat="1" ht="16.5" customHeight="1">
      <c r="A12" s="164" t="s">
        <v>987</v>
      </c>
      <c r="B12" s="176"/>
    </row>
    <row r="13" spans="1:2" s="159" customFormat="1" ht="16.5" customHeight="1">
      <c r="A13" s="164" t="s">
        <v>988</v>
      </c>
      <c r="B13" s="176"/>
    </row>
    <row r="14" spans="1:2" s="159" customFormat="1" ht="16.5" customHeight="1">
      <c r="A14" s="164" t="s">
        <v>989</v>
      </c>
      <c r="B14" s="176"/>
    </row>
    <row r="15" spans="1:2" s="159" customFormat="1" ht="16.5" customHeight="1">
      <c r="A15" s="163" t="s">
        <v>966</v>
      </c>
      <c r="B15" s="176"/>
    </row>
    <row r="16" spans="1:2" s="159" customFormat="1" ht="16.5" customHeight="1">
      <c r="A16" s="163" t="s">
        <v>990</v>
      </c>
      <c r="B16" s="176"/>
    </row>
    <row r="17" spans="1:2" s="159" customFormat="1" ht="16.5" customHeight="1">
      <c r="A17" s="164" t="s">
        <v>991</v>
      </c>
      <c r="B17" s="176"/>
    </row>
    <row r="18" spans="1:2" s="159" customFormat="1" ht="16.5" customHeight="1">
      <c r="A18" s="164" t="s">
        <v>992</v>
      </c>
      <c r="B18" s="176"/>
    </row>
    <row r="19" spans="1:2" s="159" customFormat="1" ht="16.5" customHeight="1">
      <c r="A19" s="164" t="s">
        <v>993</v>
      </c>
      <c r="B19" s="176"/>
    </row>
    <row r="20" spans="1:2" s="159" customFormat="1" ht="16.5" customHeight="1">
      <c r="A20" s="163" t="s">
        <v>969</v>
      </c>
      <c r="B20" s="176"/>
    </row>
    <row r="21" spans="1:2" s="159" customFormat="1" ht="16.5" customHeight="1">
      <c r="A21" s="164" t="s">
        <v>994</v>
      </c>
      <c r="B21" s="176"/>
    </row>
    <row r="22" spans="1:2" s="159" customFormat="1" ht="16.5" customHeight="1">
      <c r="A22" s="164" t="s">
        <v>995</v>
      </c>
      <c r="B22" s="176"/>
    </row>
    <row r="23" spans="1:2" s="159" customFormat="1" ht="16.5" customHeight="1">
      <c r="A23" s="164" t="s">
        <v>996</v>
      </c>
      <c r="B23" s="176"/>
    </row>
    <row r="24" spans="1:2" s="159" customFormat="1" ht="16.5" customHeight="1">
      <c r="A24" s="163" t="s">
        <v>997</v>
      </c>
      <c r="B24" s="176"/>
    </row>
    <row r="25" spans="1:2" s="159" customFormat="1" ht="16.5" customHeight="1">
      <c r="A25" s="161" t="s">
        <v>998</v>
      </c>
      <c r="B25" s="176"/>
    </row>
    <row r="26" spans="1:2" s="159" customFormat="1" ht="16.5" customHeight="1">
      <c r="A26" s="181" t="s">
        <v>999</v>
      </c>
      <c r="B26" s="176">
        <v>1086</v>
      </c>
    </row>
    <row r="27" spans="1:2" ht="20.100000000000001" customHeight="1"/>
  </sheetData>
  <mergeCells count="1">
    <mergeCell ref="A1:B1"/>
  </mergeCells>
  <phoneticPr fontId="2" type="noConversion"/>
  <printOptions horizontalCentered="1"/>
  <pageMargins left="0.59027777777777801" right="0.59027777777777801" top="0.78680555555555598" bottom="0.78680555555555598" header="0.39305555555555599" footer="0.59027777777777801"/>
  <pageSetup paperSize="9" firstPageNumber="194" orientation="landscape" useFirstPageNumber="1"/>
  <headerFooter alignWithMargins="0">
    <oddFooter>&amp;C&amp;11&amp;P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E23"/>
  <sheetViews>
    <sheetView workbookViewId="0">
      <selection activeCell="A18" sqref="A18"/>
    </sheetView>
  </sheetViews>
  <sheetFormatPr defaultColWidth="9" defaultRowHeight="14.25"/>
  <cols>
    <col min="1" max="1" width="61.125" customWidth="1"/>
    <col min="2" max="5" width="14.5" customWidth="1"/>
  </cols>
  <sheetData>
    <row r="1" spans="1:5" s="158" customFormat="1" ht="59.25" customHeight="1">
      <c r="A1" s="567" t="s">
        <v>50</v>
      </c>
      <c r="B1" s="567"/>
      <c r="C1" s="567"/>
      <c r="D1" s="567"/>
      <c r="E1" s="567"/>
    </row>
    <row r="2" spans="1:5" s="159" customFormat="1" ht="27.75" customHeight="1">
      <c r="D2" s="576" t="s">
        <v>210</v>
      </c>
      <c r="E2" s="576"/>
    </row>
    <row r="3" spans="1:5" s="159" customFormat="1" ht="32.25" customHeight="1">
      <c r="A3" s="578" t="s">
        <v>1000</v>
      </c>
      <c r="B3" s="577" t="s">
        <v>366</v>
      </c>
      <c r="C3" s="577"/>
      <c r="D3" s="577"/>
      <c r="E3" s="577"/>
    </row>
    <row r="4" spans="1:5" s="159" customFormat="1" ht="29.25" customHeight="1">
      <c r="A4" s="579"/>
      <c r="B4" s="162" t="s">
        <v>1001</v>
      </c>
      <c r="C4" s="162" t="s">
        <v>1002</v>
      </c>
      <c r="D4" s="162" t="s">
        <v>1003</v>
      </c>
      <c r="E4" s="162" t="s">
        <v>205</v>
      </c>
    </row>
    <row r="5" spans="1:5" s="159" customFormat="1" ht="21.95" customHeight="1">
      <c r="A5" s="163" t="s">
        <v>1004</v>
      </c>
      <c r="B5" s="164"/>
      <c r="C5" s="164"/>
      <c r="D5" s="164"/>
      <c r="E5" s="164"/>
    </row>
    <row r="6" spans="1:5" s="159" customFormat="1" ht="21.95" customHeight="1">
      <c r="A6" s="161" t="s">
        <v>998</v>
      </c>
      <c r="B6" s="164"/>
      <c r="C6" s="164"/>
      <c r="D6" s="164"/>
      <c r="E6" s="164"/>
    </row>
    <row r="7" spans="1:5" s="159" customFormat="1" ht="21.95" customHeight="1">
      <c r="A7" s="163" t="s">
        <v>1005</v>
      </c>
      <c r="B7" s="164"/>
      <c r="C7" s="164"/>
      <c r="D7" s="164"/>
      <c r="E7" s="164"/>
    </row>
    <row r="8" spans="1:5" s="159" customFormat="1" ht="21.95" customHeight="1">
      <c r="A8" s="161" t="s">
        <v>998</v>
      </c>
      <c r="B8" s="163"/>
      <c r="C8" s="163"/>
      <c r="D8" s="163"/>
      <c r="E8" s="163"/>
    </row>
    <row r="9" spans="1:5" s="159" customFormat="1" ht="21.95" customHeight="1">
      <c r="A9" s="163" t="s">
        <v>1006</v>
      </c>
      <c r="B9" s="163"/>
      <c r="C9" s="163"/>
      <c r="D9" s="163"/>
      <c r="E9" s="163"/>
    </row>
    <row r="10" spans="1:5" s="159" customFormat="1" ht="21.95" customHeight="1">
      <c r="A10" s="161" t="s">
        <v>998</v>
      </c>
      <c r="B10" s="163"/>
      <c r="C10" s="163"/>
      <c r="D10" s="163"/>
      <c r="E10" s="163"/>
    </row>
    <row r="11" spans="1:5" s="159" customFormat="1" ht="21.95" customHeight="1">
      <c r="A11" s="163" t="s">
        <v>1007</v>
      </c>
      <c r="B11" s="163"/>
      <c r="C11" s="163"/>
      <c r="D11" s="163"/>
      <c r="E11" s="163"/>
    </row>
    <row r="12" spans="1:5" s="159" customFormat="1" ht="21.95" customHeight="1">
      <c r="A12" s="161" t="s">
        <v>998</v>
      </c>
      <c r="B12" s="163"/>
      <c r="C12" s="163"/>
      <c r="D12" s="163"/>
      <c r="E12" s="163"/>
    </row>
    <row r="13" spans="1:5" s="159" customFormat="1" ht="21.95" customHeight="1">
      <c r="A13" s="163" t="s">
        <v>1008</v>
      </c>
      <c r="B13" s="165">
        <f>SUM(B15:B17)</f>
        <v>815</v>
      </c>
      <c r="C13" s="166"/>
      <c r="D13" s="166"/>
      <c r="E13" s="165">
        <f>SUM(E15:E17)</f>
        <v>815</v>
      </c>
    </row>
    <row r="14" spans="1:5" s="159" customFormat="1" ht="21.95" customHeight="1">
      <c r="A14" s="167" t="s">
        <v>1009</v>
      </c>
      <c r="B14" s="165">
        <v>815</v>
      </c>
      <c r="C14" s="166"/>
      <c r="D14" s="166"/>
      <c r="E14" s="165">
        <v>815</v>
      </c>
    </row>
    <row r="15" spans="1:5" s="159" customFormat="1" ht="21.95" customHeight="1">
      <c r="A15" s="168" t="s">
        <v>983</v>
      </c>
      <c r="B15" s="165">
        <v>447</v>
      </c>
      <c r="C15" s="169"/>
      <c r="D15" s="169"/>
      <c r="E15" s="165">
        <v>447</v>
      </c>
    </row>
    <row r="16" spans="1:5" s="159" customFormat="1" ht="21.95" customHeight="1">
      <c r="A16" s="168" t="s">
        <v>984</v>
      </c>
      <c r="B16" s="165">
        <v>349</v>
      </c>
      <c r="C16" s="169"/>
      <c r="D16" s="169"/>
      <c r="E16" s="165">
        <v>349</v>
      </c>
    </row>
    <row r="17" spans="1:5" s="159" customFormat="1" ht="21.95" customHeight="1">
      <c r="A17" s="168" t="s">
        <v>985</v>
      </c>
      <c r="B17" s="165">
        <v>19</v>
      </c>
      <c r="C17" s="169"/>
      <c r="D17" s="169"/>
      <c r="E17" s="165">
        <v>19</v>
      </c>
    </row>
    <row r="18" spans="1:5" s="159" customFormat="1" ht="21.95" customHeight="1">
      <c r="A18" s="170" t="s">
        <v>986</v>
      </c>
      <c r="B18" s="165"/>
      <c r="C18" s="171"/>
      <c r="D18" s="171"/>
      <c r="E18" s="165"/>
    </row>
    <row r="19" spans="1:5" s="159" customFormat="1" ht="21.95" customHeight="1">
      <c r="A19" s="163" t="s">
        <v>1010</v>
      </c>
      <c r="B19" s="165">
        <v>271</v>
      </c>
      <c r="C19" s="171"/>
      <c r="D19" s="171"/>
      <c r="E19" s="165">
        <v>271</v>
      </c>
    </row>
    <row r="20" spans="1:5" s="159" customFormat="1" ht="21.95" customHeight="1">
      <c r="A20" s="172"/>
      <c r="B20" s="165"/>
      <c r="C20" s="171"/>
      <c r="D20" s="171"/>
      <c r="E20" s="165"/>
    </row>
    <row r="21" spans="1:5" s="159" customFormat="1" ht="21.95" customHeight="1">
      <c r="A21" s="173" t="s">
        <v>1011</v>
      </c>
      <c r="B21" s="165">
        <f>+B19+B13</f>
        <v>1086</v>
      </c>
      <c r="C21" s="169"/>
      <c r="D21" s="169"/>
      <c r="E21" s="165">
        <f>+E19+E13</f>
        <v>1086</v>
      </c>
    </row>
    <row r="22" spans="1:5" s="160" customFormat="1" ht="21.95" customHeight="1">
      <c r="A22" s="174"/>
      <c r="B22" s="19"/>
      <c r="C22" s="19"/>
      <c r="D22" s="19"/>
      <c r="E22" s="19"/>
    </row>
    <row r="23" spans="1:5" ht="20.100000000000001" customHeight="1"/>
  </sheetData>
  <mergeCells count="4">
    <mergeCell ref="A1:E1"/>
    <mergeCell ref="D2:E2"/>
    <mergeCell ref="B3:E3"/>
    <mergeCell ref="A3:A4"/>
  </mergeCells>
  <phoneticPr fontId="2" type="noConversion"/>
  <printOptions horizontalCentered="1"/>
  <pageMargins left="0.59027777777777801" right="0.59027777777777801" top="0.78680555555555598" bottom="0.78680555555555598" header="0.39305555555555599" footer="0.59027777777777801"/>
  <pageSetup paperSize="9" firstPageNumber="196" orientation="landscape" useFirstPageNumber="1"/>
  <headerFooter alignWithMargins="0">
    <oddFooter>&amp;C&amp;11&amp;P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H25"/>
  <sheetViews>
    <sheetView workbookViewId="0">
      <selection activeCell="K14" sqref="K14"/>
    </sheetView>
  </sheetViews>
  <sheetFormatPr defaultColWidth="8" defaultRowHeight="14.25" customHeight="1"/>
  <cols>
    <col min="1" max="1" width="29" style="48" customWidth="1"/>
    <col min="2" max="2" width="12.125" style="48" customWidth="1"/>
    <col min="3" max="4" width="13.375" style="48" customWidth="1"/>
    <col min="5" max="5" width="11.375" style="48" customWidth="1"/>
    <col min="6" max="6" width="13.375" style="48" customWidth="1"/>
    <col min="7" max="7" width="12.25" style="48" customWidth="1"/>
    <col min="8" max="8" width="10.75" style="48" customWidth="1"/>
    <col min="9" max="16384" width="8" style="48"/>
  </cols>
  <sheetData>
    <row r="1" spans="1:8" ht="4.5" customHeight="1">
      <c r="A1" s="88"/>
      <c r="B1" s="144"/>
      <c r="C1" s="144"/>
      <c r="D1" s="144"/>
      <c r="E1" s="144"/>
      <c r="F1" s="144"/>
      <c r="G1" s="144"/>
      <c r="H1" s="144"/>
    </row>
    <row r="2" spans="1:8" ht="46.5" customHeight="1">
      <c r="A2" s="580" t="s">
        <v>52</v>
      </c>
      <c r="B2" s="580"/>
      <c r="C2" s="580"/>
      <c r="D2" s="580"/>
      <c r="E2" s="580"/>
      <c r="F2" s="580"/>
      <c r="G2" s="580"/>
      <c r="H2" s="580"/>
    </row>
    <row r="3" spans="1:8" ht="14.25" customHeight="1">
      <c r="A3" s="145"/>
      <c r="B3" s="145"/>
      <c r="C3" s="145"/>
      <c r="D3" s="145"/>
      <c r="E3" s="145"/>
      <c r="F3" s="145"/>
      <c r="G3" s="145"/>
      <c r="H3" s="145"/>
    </row>
    <row r="4" spans="1:8" ht="12" customHeight="1">
      <c r="A4" s="53"/>
      <c r="B4" s="146"/>
      <c r="C4" s="146"/>
      <c r="D4" s="146"/>
      <c r="E4" s="146"/>
      <c r="F4" s="146"/>
      <c r="G4" s="146"/>
      <c r="H4" s="55" t="s">
        <v>210</v>
      </c>
    </row>
    <row r="5" spans="1:8" ht="36.75" customHeight="1">
      <c r="A5" s="56" t="s">
        <v>247</v>
      </c>
      <c r="B5" s="147" t="s">
        <v>88</v>
      </c>
      <c r="C5" s="148" t="s">
        <v>248</v>
      </c>
      <c r="D5" s="148" t="s">
        <v>249</v>
      </c>
      <c r="E5" s="147" t="s">
        <v>250</v>
      </c>
      <c r="F5" s="147" t="s">
        <v>251</v>
      </c>
      <c r="G5" s="147" t="s">
        <v>252</v>
      </c>
      <c r="H5" s="147" t="s">
        <v>253</v>
      </c>
    </row>
    <row r="6" spans="1:8" ht="18.75" customHeight="1">
      <c r="A6" s="153" t="s">
        <v>254</v>
      </c>
      <c r="B6" s="150">
        <f t="shared" ref="B6" si="0">C6+D6+E6+F6+G6+H6</f>
        <v>127780</v>
      </c>
      <c r="C6" s="156">
        <v>7088</v>
      </c>
      <c r="D6" s="156">
        <v>14470</v>
      </c>
      <c r="E6" s="157">
        <v>4533</v>
      </c>
      <c r="F6" s="150">
        <v>80985</v>
      </c>
      <c r="G6" s="150">
        <v>18952</v>
      </c>
      <c r="H6" s="150">
        <v>1752</v>
      </c>
    </row>
    <row r="7" spans="1:8" ht="18.75" customHeight="1">
      <c r="A7" s="153" t="s">
        <v>255</v>
      </c>
      <c r="B7" s="150">
        <f t="shared" ref="B7" si="1">SUM(B8:B14)</f>
        <v>261700</v>
      </c>
      <c r="C7" s="58">
        <f t="shared" ref="C7:H7" si="2">SUM(C8:C14)</f>
        <v>158057</v>
      </c>
      <c r="D7" s="58">
        <f t="shared" si="2"/>
        <v>40838</v>
      </c>
      <c r="E7" s="58">
        <f t="shared" si="2"/>
        <v>1691</v>
      </c>
      <c r="F7" s="58">
        <f t="shared" si="2"/>
        <v>52062</v>
      </c>
      <c r="G7" s="58">
        <f t="shared" si="2"/>
        <v>7015</v>
      </c>
      <c r="H7" s="58">
        <f t="shared" si="2"/>
        <v>2037</v>
      </c>
    </row>
    <row r="8" spans="1:8" ht="18.75" customHeight="1">
      <c r="A8" s="149" t="s">
        <v>256</v>
      </c>
      <c r="B8" s="150">
        <f t="shared" ref="B8" si="3">C8+D8+E8+F8+G8+H8</f>
        <v>142917</v>
      </c>
      <c r="C8" s="58">
        <v>72000</v>
      </c>
      <c r="D8" s="58">
        <v>24312</v>
      </c>
      <c r="E8" s="151">
        <v>1438</v>
      </c>
      <c r="F8" s="58">
        <v>37794</v>
      </c>
      <c r="G8" s="58">
        <v>5366</v>
      </c>
      <c r="H8" s="58">
        <v>2007</v>
      </c>
    </row>
    <row r="9" spans="1:8" ht="18.75" customHeight="1">
      <c r="A9" s="149" t="s">
        <v>257</v>
      </c>
      <c r="B9" s="150">
        <f t="shared" ref="B9:B14" si="4">C9+D9+E9+F9+G9+H9</f>
        <v>2656</v>
      </c>
      <c r="C9" s="58">
        <v>300</v>
      </c>
      <c r="D9" s="58">
        <v>100</v>
      </c>
      <c r="E9" s="151">
        <v>73</v>
      </c>
      <c r="F9" s="58">
        <v>1755</v>
      </c>
      <c r="G9" s="58">
        <v>398</v>
      </c>
      <c r="H9" s="58">
        <v>30</v>
      </c>
    </row>
    <row r="10" spans="1:8" ht="18.75" customHeight="1">
      <c r="A10" s="57" t="s">
        <v>258</v>
      </c>
      <c r="B10" s="150">
        <f t="shared" si="4"/>
        <v>85657</v>
      </c>
      <c r="C10" s="58">
        <v>69357</v>
      </c>
      <c r="D10" s="58">
        <v>16300</v>
      </c>
      <c r="E10" s="151"/>
      <c r="F10" s="58"/>
      <c r="G10" s="58"/>
      <c r="H10" s="58"/>
    </row>
    <row r="11" spans="1:8" ht="18.75" customHeight="1">
      <c r="A11" s="57" t="s">
        <v>259</v>
      </c>
      <c r="B11" s="150">
        <f t="shared" si="4"/>
        <v>12915</v>
      </c>
      <c r="C11" s="58">
        <v>400</v>
      </c>
      <c r="D11" s="58"/>
      <c r="E11" s="151">
        <v>2</v>
      </c>
      <c r="F11" s="58">
        <v>12513</v>
      </c>
      <c r="G11" s="58"/>
      <c r="H11" s="58"/>
    </row>
    <row r="12" spans="1:8" ht="18.75" customHeight="1">
      <c r="A12" s="57" t="s">
        <v>260</v>
      </c>
      <c r="B12" s="150">
        <f t="shared" si="4"/>
        <v>126</v>
      </c>
      <c r="C12" s="58">
        <v>0</v>
      </c>
      <c r="D12" s="58">
        <v>126</v>
      </c>
      <c r="E12" s="151"/>
      <c r="F12" s="58"/>
      <c r="G12" s="58"/>
      <c r="H12" s="58"/>
    </row>
    <row r="13" spans="1:8" ht="18.75" customHeight="1">
      <c r="A13" s="57" t="s">
        <v>261</v>
      </c>
      <c r="B13" s="150">
        <f t="shared" si="4"/>
        <v>16000</v>
      </c>
      <c r="C13" s="58">
        <v>16000</v>
      </c>
      <c r="D13" s="58"/>
      <c r="E13" s="151"/>
      <c r="F13" s="58"/>
      <c r="G13" s="58"/>
      <c r="H13" s="58"/>
    </row>
    <row r="14" spans="1:8" ht="18.75" customHeight="1">
      <c r="A14" s="57" t="s">
        <v>262</v>
      </c>
      <c r="B14" s="150">
        <f t="shared" si="4"/>
        <v>1429</v>
      </c>
      <c r="C14" s="58"/>
      <c r="D14" s="58"/>
      <c r="E14" s="151">
        <v>178</v>
      </c>
      <c r="F14" s="58"/>
      <c r="G14" s="58">
        <v>1251</v>
      </c>
      <c r="H14" s="58"/>
    </row>
    <row r="15" spans="1:8" ht="18.75" customHeight="1">
      <c r="A15" s="149" t="s">
        <v>263</v>
      </c>
      <c r="B15" s="150">
        <f t="shared" ref="B15" si="5">SUM(B16:B20)</f>
        <v>265079</v>
      </c>
      <c r="C15" s="58">
        <f t="shared" ref="C15:H15" si="6">SUM(C16:C20)</f>
        <v>161726</v>
      </c>
      <c r="D15" s="58">
        <f t="shared" si="6"/>
        <v>43717</v>
      </c>
      <c r="E15" s="58">
        <f t="shared" si="6"/>
        <v>1675</v>
      </c>
      <c r="F15" s="58">
        <f t="shared" si="6"/>
        <v>48904</v>
      </c>
      <c r="G15" s="58">
        <f t="shared" si="6"/>
        <v>5268</v>
      </c>
      <c r="H15" s="58">
        <f t="shared" si="6"/>
        <v>3789</v>
      </c>
    </row>
    <row r="16" spans="1:8" ht="18.75" customHeight="1">
      <c r="A16" s="149" t="s">
        <v>264</v>
      </c>
      <c r="B16" s="150">
        <f t="shared" ref="B16" si="7">C16+D16+E16+F16+G16+H16</f>
        <v>256518</v>
      </c>
      <c r="C16" s="58">
        <v>161726</v>
      </c>
      <c r="D16" s="58">
        <v>43617</v>
      </c>
      <c r="E16" s="151">
        <v>1273</v>
      </c>
      <c r="F16" s="58">
        <v>41890</v>
      </c>
      <c r="G16" s="58">
        <v>4223</v>
      </c>
      <c r="H16" s="58">
        <v>3789</v>
      </c>
    </row>
    <row r="17" spans="1:8" ht="18.75" customHeight="1">
      <c r="A17" s="149" t="s">
        <v>265</v>
      </c>
      <c r="B17" s="150">
        <f t="shared" ref="B17:B22" si="8">C17+D17+E17+F17+G17+H17</f>
        <v>7574</v>
      </c>
      <c r="C17" s="58"/>
      <c r="D17" s="58"/>
      <c r="E17" s="151">
        <v>154</v>
      </c>
      <c r="F17" s="58">
        <v>6820</v>
      </c>
      <c r="G17" s="58">
        <v>600</v>
      </c>
      <c r="H17" s="58"/>
    </row>
    <row r="18" spans="1:8" ht="18.75" customHeight="1">
      <c r="A18" s="57" t="s">
        <v>266</v>
      </c>
      <c r="B18" s="150">
        <f t="shared" si="8"/>
        <v>294</v>
      </c>
      <c r="C18" s="58"/>
      <c r="D18" s="58">
        <v>100</v>
      </c>
      <c r="E18" s="151"/>
      <c r="F18" s="58">
        <v>194</v>
      </c>
      <c r="G18" s="58"/>
      <c r="H18" s="58"/>
    </row>
    <row r="19" spans="1:8" ht="18.75" customHeight="1">
      <c r="A19" s="152" t="s">
        <v>267</v>
      </c>
      <c r="B19" s="150">
        <f t="shared" si="8"/>
        <v>0</v>
      </c>
      <c r="C19" s="58"/>
      <c r="D19" s="58"/>
      <c r="E19" s="151"/>
      <c r="F19" s="58"/>
      <c r="G19" s="58"/>
      <c r="H19" s="58"/>
    </row>
    <row r="20" spans="1:8" ht="18.75" customHeight="1">
      <c r="A20" s="152" t="s">
        <v>268</v>
      </c>
      <c r="B20" s="150">
        <f t="shared" si="8"/>
        <v>693</v>
      </c>
      <c r="C20" s="58"/>
      <c r="D20" s="58"/>
      <c r="E20" s="151">
        <v>248</v>
      </c>
      <c r="F20" s="58"/>
      <c r="G20" s="58">
        <v>445</v>
      </c>
      <c r="H20" s="58"/>
    </row>
    <row r="21" spans="1:8" ht="18.75" customHeight="1">
      <c r="A21" s="153" t="s">
        <v>269</v>
      </c>
      <c r="B21" s="150">
        <f t="shared" si="8"/>
        <v>-3379</v>
      </c>
      <c r="C21" s="58">
        <f t="shared" ref="C21:H21" si="9">C7-C15</f>
        <v>-3669</v>
      </c>
      <c r="D21" s="58">
        <f t="shared" si="9"/>
        <v>-2879</v>
      </c>
      <c r="E21" s="58">
        <f t="shared" si="9"/>
        <v>16</v>
      </c>
      <c r="F21" s="58">
        <f t="shared" si="9"/>
        <v>3158</v>
      </c>
      <c r="G21" s="58">
        <f t="shared" si="9"/>
        <v>1747</v>
      </c>
      <c r="H21" s="58">
        <f t="shared" si="9"/>
        <v>-1752</v>
      </c>
    </row>
    <row r="22" spans="1:8" ht="18.75" customHeight="1">
      <c r="A22" s="149" t="s">
        <v>270</v>
      </c>
      <c r="B22" s="150">
        <f t="shared" si="8"/>
        <v>124401</v>
      </c>
      <c r="C22" s="58">
        <f t="shared" ref="C22:H22" si="10">C6+C21</f>
        <v>3419</v>
      </c>
      <c r="D22" s="58">
        <f t="shared" si="10"/>
        <v>11591</v>
      </c>
      <c r="E22" s="58">
        <f t="shared" si="10"/>
        <v>4549</v>
      </c>
      <c r="F22" s="58">
        <f t="shared" si="10"/>
        <v>84143</v>
      </c>
      <c r="G22" s="58">
        <f t="shared" si="10"/>
        <v>20699</v>
      </c>
      <c r="H22" s="58">
        <f t="shared" si="10"/>
        <v>0</v>
      </c>
    </row>
    <row r="23" spans="1:8" ht="27.75" customHeight="1">
      <c r="A23" s="154"/>
      <c r="B23" s="155"/>
      <c r="C23" s="155"/>
      <c r="D23" s="155"/>
      <c r="E23" s="155"/>
      <c r="F23" s="155"/>
      <c r="G23" s="155"/>
      <c r="H23" s="155"/>
    </row>
    <row r="24" spans="1:8" ht="14.25" hidden="1" customHeight="1">
      <c r="B24" s="48">
        <v>261984</v>
      </c>
      <c r="C24" s="48">
        <f>+B7-B24</f>
        <v>-284</v>
      </c>
      <c r="D24" s="48">
        <f>+C24*100/B24</f>
        <v>-0.10840356663002321</v>
      </c>
    </row>
    <row r="25" spans="1:8" ht="14.25" hidden="1" customHeight="1">
      <c r="B25" s="48">
        <v>245671</v>
      </c>
      <c r="C25" s="48">
        <f>+B15-B25</f>
        <v>19408</v>
      </c>
      <c r="D25" s="48">
        <f>+C25*100/B25</f>
        <v>7.899996336563941</v>
      </c>
    </row>
  </sheetData>
  <mergeCells count="1">
    <mergeCell ref="A2:H2"/>
  </mergeCells>
  <phoneticPr fontId="2" type="noConversion"/>
  <pageMargins left="0.74791666666666701" right="0.74791666666666701" top="0.98402777777777795" bottom="0.98402777777777795" header="0.51180555555555596" footer="0.51180555555555596"/>
  <pageSetup paperSize="9" orientation="landscape" errors="blank"/>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D14" sqref="D14"/>
    </sheetView>
  </sheetViews>
  <sheetFormatPr defaultColWidth="8" defaultRowHeight="14.25" customHeight="1"/>
  <cols>
    <col min="1" max="1" width="29" style="48" customWidth="1"/>
    <col min="2" max="2" width="12.125" style="48" customWidth="1"/>
    <col min="3" max="4" width="13.375" style="48" customWidth="1"/>
    <col min="5" max="5" width="11.375" style="48" customWidth="1"/>
    <col min="6" max="6" width="13.375" style="48" customWidth="1"/>
    <col min="7" max="7" width="12.25" style="48" customWidth="1"/>
    <col min="8" max="8" width="10.75" style="48" customWidth="1"/>
    <col min="9" max="16384" width="8" style="48"/>
  </cols>
  <sheetData>
    <row r="1" spans="1:8" ht="4.5" customHeight="1">
      <c r="A1" s="88"/>
      <c r="B1" s="144"/>
      <c r="C1" s="144"/>
      <c r="D1" s="144"/>
      <c r="E1" s="144"/>
      <c r="F1" s="144"/>
      <c r="G1" s="144"/>
      <c r="H1" s="144"/>
    </row>
    <row r="2" spans="1:8" ht="46.5" customHeight="1">
      <c r="A2" s="580" t="s">
        <v>54</v>
      </c>
      <c r="B2" s="580"/>
      <c r="C2" s="580"/>
      <c r="D2" s="580"/>
      <c r="E2" s="580"/>
      <c r="F2" s="580"/>
      <c r="G2" s="580"/>
      <c r="H2" s="580"/>
    </row>
    <row r="3" spans="1:8" ht="14.25" customHeight="1">
      <c r="A3" s="145"/>
      <c r="B3" s="145"/>
      <c r="C3" s="145"/>
      <c r="D3" s="145"/>
      <c r="E3" s="145"/>
      <c r="F3" s="145"/>
      <c r="G3" s="145"/>
      <c r="H3" s="145"/>
    </row>
    <row r="4" spans="1:8" ht="12" customHeight="1">
      <c r="A4" s="53"/>
      <c r="B4" s="146"/>
      <c r="C4" s="146"/>
      <c r="D4" s="146"/>
      <c r="E4" s="146"/>
      <c r="F4" s="146"/>
      <c r="G4" s="146"/>
      <c r="H4" s="55" t="s">
        <v>210</v>
      </c>
    </row>
    <row r="5" spans="1:8" ht="36.75" customHeight="1">
      <c r="A5" s="56" t="s">
        <v>247</v>
      </c>
      <c r="B5" s="147" t="s">
        <v>88</v>
      </c>
      <c r="C5" s="148" t="s">
        <v>248</v>
      </c>
      <c r="D5" s="148" t="s">
        <v>249</v>
      </c>
      <c r="E5" s="147" t="s">
        <v>250</v>
      </c>
      <c r="F5" s="147" t="s">
        <v>251</v>
      </c>
      <c r="G5" s="147" t="s">
        <v>252</v>
      </c>
      <c r="H5" s="147" t="s">
        <v>253</v>
      </c>
    </row>
    <row r="6" spans="1:8" ht="18.75" customHeight="1">
      <c r="A6" s="153" t="s">
        <v>1012</v>
      </c>
      <c r="B6" s="150">
        <f t="shared" ref="B6:H6" si="0">SUM(B7:B13)</f>
        <v>261700</v>
      </c>
      <c r="C6" s="58">
        <f t="shared" si="0"/>
        <v>158057</v>
      </c>
      <c r="D6" s="58">
        <f t="shared" si="0"/>
        <v>40838</v>
      </c>
      <c r="E6" s="58">
        <f t="shared" si="0"/>
        <v>1691</v>
      </c>
      <c r="F6" s="58">
        <f t="shared" si="0"/>
        <v>52062</v>
      </c>
      <c r="G6" s="58">
        <f t="shared" si="0"/>
        <v>7015</v>
      </c>
      <c r="H6" s="58">
        <f t="shared" si="0"/>
        <v>2037</v>
      </c>
    </row>
    <row r="7" spans="1:8" ht="18.75" customHeight="1">
      <c r="A7" s="149" t="s">
        <v>256</v>
      </c>
      <c r="B7" s="150">
        <f t="shared" ref="B7:B13" si="1">C7+D7+E7+F7+G7+H7</f>
        <v>142917</v>
      </c>
      <c r="C7" s="58">
        <v>72000</v>
      </c>
      <c r="D7" s="58">
        <v>24312</v>
      </c>
      <c r="E7" s="151">
        <v>1438</v>
      </c>
      <c r="F7" s="58">
        <v>37794</v>
      </c>
      <c r="G7" s="58">
        <v>5366</v>
      </c>
      <c r="H7" s="58">
        <v>2007</v>
      </c>
    </row>
    <row r="8" spans="1:8" ht="18.75" customHeight="1">
      <c r="A8" s="149" t="s">
        <v>257</v>
      </c>
      <c r="B8" s="150">
        <f t="shared" si="1"/>
        <v>2656</v>
      </c>
      <c r="C8" s="58">
        <v>300</v>
      </c>
      <c r="D8" s="58">
        <v>100</v>
      </c>
      <c r="E8" s="151">
        <v>73</v>
      </c>
      <c r="F8" s="58">
        <v>1755</v>
      </c>
      <c r="G8" s="58">
        <v>398</v>
      </c>
      <c r="H8" s="58">
        <v>30</v>
      </c>
    </row>
    <row r="9" spans="1:8" ht="18.75" customHeight="1">
      <c r="A9" s="57" t="s">
        <v>258</v>
      </c>
      <c r="B9" s="150">
        <f t="shared" si="1"/>
        <v>85657</v>
      </c>
      <c r="C9" s="58">
        <v>69357</v>
      </c>
      <c r="D9" s="58">
        <v>16300</v>
      </c>
      <c r="E9" s="151"/>
      <c r="F9" s="58"/>
      <c r="G9" s="58"/>
      <c r="H9" s="58"/>
    </row>
    <row r="10" spans="1:8" ht="18.75" customHeight="1">
      <c r="A10" s="57" t="s">
        <v>259</v>
      </c>
      <c r="B10" s="150">
        <f t="shared" si="1"/>
        <v>12915</v>
      </c>
      <c r="C10" s="58">
        <v>400</v>
      </c>
      <c r="D10" s="58"/>
      <c r="E10" s="151">
        <v>2</v>
      </c>
      <c r="F10" s="58">
        <v>12513</v>
      </c>
      <c r="G10" s="58"/>
      <c r="H10" s="58"/>
    </row>
    <row r="11" spans="1:8" ht="18.75" customHeight="1">
      <c r="A11" s="57" t="s">
        <v>260</v>
      </c>
      <c r="B11" s="150">
        <f t="shared" si="1"/>
        <v>126</v>
      </c>
      <c r="C11" s="58">
        <v>0</v>
      </c>
      <c r="D11" s="58">
        <v>126</v>
      </c>
      <c r="E11" s="151"/>
      <c r="F11" s="58"/>
      <c r="G11" s="58"/>
      <c r="H11" s="58"/>
    </row>
    <row r="12" spans="1:8" ht="18.75" customHeight="1">
      <c r="A12" s="57" t="s">
        <v>261</v>
      </c>
      <c r="B12" s="150">
        <f t="shared" si="1"/>
        <v>16000</v>
      </c>
      <c r="C12" s="58">
        <v>16000</v>
      </c>
      <c r="D12" s="58"/>
      <c r="E12" s="151"/>
      <c r="F12" s="58"/>
      <c r="G12" s="58"/>
      <c r="H12" s="58"/>
    </row>
    <row r="13" spans="1:8" ht="18.75" customHeight="1">
      <c r="A13" s="57" t="s">
        <v>262</v>
      </c>
      <c r="B13" s="150">
        <f t="shared" si="1"/>
        <v>1429</v>
      </c>
      <c r="C13" s="58"/>
      <c r="D13" s="58"/>
      <c r="E13" s="151">
        <v>178</v>
      </c>
      <c r="F13" s="58"/>
      <c r="G13" s="58">
        <v>1251</v>
      </c>
      <c r="H13" s="58"/>
    </row>
    <row r="14" spans="1:8" ht="27.75" customHeight="1">
      <c r="A14" s="154"/>
      <c r="B14" s="155"/>
      <c r="C14" s="155"/>
      <c r="D14" s="155"/>
      <c r="E14" s="155"/>
      <c r="F14" s="155"/>
      <c r="G14" s="155"/>
      <c r="H14" s="155"/>
    </row>
    <row r="15" spans="1:8" ht="14.25" hidden="1" customHeight="1">
      <c r="B15" s="48">
        <v>261984</v>
      </c>
      <c r="C15" s="48">
        <f>+B6-B15</f>
        <v>-284</v>
      </c>
      <c r="D15" s="48">
        <f>+C15*100/B15</f>
        <v>-0.10840356663002321</v>
      </c>
    </row>
    <row r="16" spans="1:8" ht="14.25" hidden="1" customHeight="1">
      <c r="B16" s="48">
        <v>245671</v>
      </c>
      <c r="C16" s="48" t="e">
        <f>+#REF!-B16</f>
        <v>#REF!</v>
      </c>
      <c r="D16" s="48" t="e">
        <f>+C16*100/B16</f>
        <v>#REF!</v>
      </c>
    </row>
  </sheetData>
  <mergeCells count="1">
    <mergeCell ref="A2:H2"/>
  </mergeCells>
  <phoneticPr fontId="2" type="noConversion"/>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C22" sqref="C22"/>
    </sheetView>
  </sheetViews>
  <sheetFormatPr defaultColWidth="8" defaultRowHeight="14.25" customHeight="1"/>
  <cols>
    <col min="1" max="1" width="29" style="48" customWidth="1"/>
    <col min="2" max="2" width="12.125" style="48" customWidth="1"/>
    <col min="3" max="4" width="13.375" style="48" customWidth="1"/>
    <col min="5" max="5" width="11.375" style="48" customWidth="1"/>
    <col min="6" max="6" width="13.375" style="48" customWidth="1"/>
    <col min="7" max="7" width="12.25" style="48" customWidth="1"/>
    <col min="8" max="8" width="10.75" style="48" customWidth="1"/>
    <col min="9" max="16384" width="8" style="48"/>
  </cols>
  <sheetData>
    <row r="1" spans="1:8" ht="4.5" customHeight="1">
      <c r="A1" s="88"/>
      <c r="B1" s="144"/>
      <c r="C1" s="144"/>
      <c r="D1" s="144"/>
      <c r="E1" s="144"/>
      <c r="F1" s="144"/>
      <c r="G1" s="144"/>
      <c r="H1" s="144"/>
    </row>
    <row r="2" spans="1:8" ht="46.5" customHeight="1">
      <c r="A2" s="580" t="s">
        <v>56</v>
      </c>
      <c r="B2" s="580"/>
      <c r="C2" s="580"/>
      <c r="D2" s="580"/>
      <c r="E2" s="580"/>
      <c r="F2" s="580"/>
      <c r="G2" s="580"/>
      <c r="H2" s="580"/>
    </row>
    <row r="3" spans="1:8" ht="14.25" customHeight="1">
      <c r="A3" s="145"/>
      <c r="B3" s="145"/>
      <c r="C3" s="145"/>
      <c r="D3" s="145"/>
      <c r="E3" s="145"/>
      <c r="F3" s="145"/>
      <c r="G3" s="145"/>
      <c r="H3" s="145"/>
    </row>
    <row r="4" spans="1:8" ht="12" customHeight="1">
      <c r="A4" s="53"/>
      <c r="B4" s="146"/>
      <c r="C4" s="146"/>
      <c r="D4" s="146"/>
      <c r="E4" s="146"/>
      <c r="F4" s="146"/>
      <c r="G4" s="146"/>
      <c r="H4" s="55" t="s">
        <v>210</v>
      </c>
    </row>
    <row r="5" spans="1:8" ht="36.75" customHeight="1">
      <c r="A5" s="56" t="s">
        <v>247</v>
      </c>
      <c r="B5" s="147" t="s">
        <v>88</v>
      </c>
      <c r="C5" s="148" t="s">
        <v>248</v>
      </c>
      <c r="D5" s="148" t="s">
        <v>249</v>
      </c>
      <c r="E5" s="147" t="s">
        <v>250</v>
      </c>
      <c r="F5" s="147" t="s">
        <v>251</v>
      </c>
      <c r="G5" s="147" t="s">
        <v>252</v>
      </c>
      <c r="H5" s="147" t="s">
        <v>253</v>
      </c>
    </row>
    <row r="6" spans="1:8" ht="18.75" customHeight="1">
      <c r="A6" s="149" t="s">
        <v>1013</v>
      </c>
      <c r="B6" s="150">
        <f t="shared" ref="B6:H6" si="0">SUM(B7:B11)</f>
        <v>265079</v>
      </c>
      <c r="C6" s="58">
        <f t="shared" si="0"/>
        <v>161726</v>
      </c>
      <c r="D6" s="58">
        <f t="shared" si="0"/>
        <v>43717</v>
      </c>
      <c r="E6" s="58">
        <f t="shared" si="0"/>
        <v>1675</v>
      </c>
      <c r="F6" s="58">
        <f t="shared" si="0"/>
        <v>48904</v>
      </c>
      <c r="G6" s="58">
        <f t="shared" si="0"/>
        <v>5268</v>
      </c>
      <c r="H6" s="58">
        <f t="shared" si="0"/>
        <v>3789</v>
      </c>
    </row>
    <row r="7" spans="1:8" ht="18.75" customHeight="1">
      <c r="A7" s="149" t="s">
        <v>264</v>
      </c>
      <c r="B7" s="150">
        <f>C7+D7+E7+F7+G7+H7</f>
        <v>256518</v>
      </c>
      <c r="C7" s="58">
        <v>161726</v>
      </c>
      <c r="D7" s="58">
        <v>43617</v>
      </c>
      <c r="E7" s="151">
        <v>1273</v>
      </c>
      <c r="F7" s="58">
        <v>41890</v>
      </c>
      <c r="G7" s="58">
        <v>4223</v>
      </c>
      <c r="H7" s="58">
        <v>3789</v>
      </c>
    </row>
    <row r="8" spans="1:8" ht="18.75" customHeight="1">
      <c r="A8" s="149" t="s">
        <v>265</v>
      </c>
      <c r="B8" s="150">
        <f>C8+D8+E8+F8+G8+H8</f>
        <v>7574</v>
      </c>
      <c r="C8" s="58"/>
      <c r="D8" s="58"/>
      <c r="E8" s="151">
        <v>154</v>
      </c>
      <c r="F8" s="58">
        <v>6820</v>
      </c>
      <c r="G8" s="58">
        <v>600</v>
      </c>
      <c r="H8" s="58"/>
    </row>
    <row r="9" spans="1:8" ht="18.75" customHeight="1">
      <c r="A9" s="57" t="s">
        <v>266</v>
      </c>
      <c r="B9" s="150">
        <f>C9+D9+E9+F9+G9+H9</f>
        <v>294</v>
      </c>
      <c r="C9" s="58"/>
      <c r="D9" s="58">
        <v>100</v>
      </c>
      <c r="E9" s="151"/>
      <c r="F9" s="58">
        <v>194</v>
      </c>
      <c r="G9" s="58"/>
      <c r="H9" s="58"/>
    </row>
    <row r="10" spans="1:8" ht="18.75" customHeight="1">
      <c r="A10" s="152" t="s">
        <v>267</v>
      </c>
      <c r="B10" s="150">
        <f>C10+D10+E10+F10+G10+H10</f>
        <v>0</v>
      </c>
      <c r="C10" s="58"/>
      <c r="D10" s="58"/>
      <c r="E10" s="151"/>
      <c r="F10" s="58"/>
      <c r="G10" s="58"/>
      <c r="H10" s="58"/>
    </row>
    <row r="11" spans="1:8" ht="18.75" customHeight="1">
      <c r="A11" s="152" t="s">
        <v>268</v>
      </c>
      <c r="B11" s="150">
        <f>C11+D11+E11+F11+G11+H11</f>
        <v>693</v>
      </c>
      <c r="C11" s="58"/>
      <c r="D11" s="58"/>
      <c r="E11" s="151">
        <v>248</v>
      </c>
      <c r="F11" s="58"/>
      <c r="G11" s="58">
        <v>445</v>
      </c>
      <c r="H11" s="58"/>
    </row>
    <row r="12" spans="1:8" ht="14.25" hidden="1" customHeight="1">
      <c r="B12" s="48">
        <v>261984</v>
      </c>
      <c r="C12" s="48" t="e">
        <f>+#REF!-B12</f>
        <v>#REF!</v>
      </c>
      <c r="D12" s="48" t="e">
        <f>+C12*100/B12</f>
        <v>#REF!</v>
      </c>
    </row>
    <row r="13" spans="1:8" ht="14.25" hidden="1" customHeight="1">
      <c r="B13" s="48">
        <v>245671</v>
      </c>
      <c r="C13" s="48">
        <f>+B6-B13</f>
        <v>19408</v>
      </c>
      <c r="D13" s="48">
        <f>+C13*100/B13</f>
        <v>7.899996336563941</v>
      </c>
    </row>
  </sheetData>
  <mergeCells count="1">
    <mergeCell ref="A2:H2"/>
  </mergeCells>
  <phoneticPr fontId="2"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0"/>
  <sheetViews>
    <sheetView topLeftCell="A9" workbookViewId="0">
      <selection activeCell="A22" sqref="A22"/>
    </sheetView>
  </sheetViews>
  <sheetFormatPr defaultColWidth="9" defaultRowHeight="15.75"/>
  <cols>
    <col min="1" max="1" width="32.25" style="227" customWidth="1"/>
    <col min="2" max="2" width="14.875" style="227" customWidth="1"/>
    <col min="3" max="3" width="14.375" style="227" customWidth="1"/>
    <col min="4" max="4" width="13.375" style="227" customWidth="1"/>
    <col min="5" max="5" width="9" style="227"/>
    <col min="6" max="7" width="11.5" style="227" hidden="1" customWidth="1"/>
    <col min="8" max="10" width="9" style="227" hidden="1" customWidth="1"/>
    <col min="11" max="16384" width="9" style="227"/>
  </cols>
  <sheetData>
    <row r="1" spans="1:10" s="470" customFormat="1" ht="39.75" customHeight="1">
      <c r="A1" s="542" t="s">
        <v>4</v>
      </c>
      <c r="B1" s="542"/>
      <c r="C1" s="542"/>
      <c r="D1" s="542"/>
      <c r="E1" s="507"/>
      <c r="F1" s="507"/>
      <c r="G1" s="507"/>
    </row>
    <row r="2" spans="1:10" ht="20.25" customHeight="1">
      <c r="A2" s="38"/>
      <c r="B2" s="38"/>
      <c r="C2" s="38"/>
      <c r="D2" s="508" t="s">
        <v>81</v>
      </c>
    </row>
    <row r="3" spans="1:10" ht="31.5" customHeight="1">
      <c r="A3" s="197" t="s">
        <v>133</v>
      </c>
      <c r="B3" s="197" t="s">
        <v>134</v>
      </c>
      <c r="C3" s="197" t="s">
        <v>135</v>
      </c>
      <c r="D3" s="196" t="s">
        <v>136</v>
      </c>
      <c r="H3" s="464" t="s">
        <v>88</v>
      </c>
      <c r="I3" s="464" t="s">
        <v>89</v>
      </c>
      <c r="J3" s="464" t="s">
        <v>90</v>
      </c>
    </row>
    <row r="4" spans="1:10" ht="25.5" customHeight="1">
      <c r="A4" s="476" t="s">
        <v>137</v>
      </c>
      <c r="B4" s="305">
        <v>350362</v>
      </c>
      <c r="C4" s="305">
        <v>346699</v>
      </c>
      <c r="D4" s="499">
        <f t="shared" ref="D4" si="0">+(B4-C4)/C4*100</f>
        <v>1.0565360730777995</v>
      </c>
      <c r="F4" s="227">
        <f>+C4*1.18</f>
        <v>409104.82</v>
      </c>
      <c r="G4" s="227">
        <f>+F4-B4</f>
        <v>58742.820000000007</v>
      </c>
      <c r="H4" s="166">
        <f t="shared" ref="H4" si="1">+I4+J4</f>
        <v>394082</v>
      </c>
      <c r="I4" s="510">
        <v>338523</v>
      </c>
      <c r="J4" s="166">
        <f>15000-1441+30000+20000-8000</f>
        <v>55559</v>
      </c>
    </row>
    <row r="5" spans="1:10" ht="25.5" customHeight="1">
      <c r="A5" s="476" t="s">
        <v>138</v>
      </c>
      <c r="B5" s="305"/>
      <c r="C5" s="305"/>
      <c r="D5" s="499"/>
      <c r="F5" s="227">
        <f t="shared" ref="F5" si="2">+C5*1.18</f>
        <v>0</v>
      </c>
      <c r="G5" s="227">
        <f t="shared" ref="G5" si="3">+F5-B5</f>
        <v>0</v>
      </c>
      <c r="H5" s="166">
        <f t="shared" ref="H5:H26" si="4">+I5+J5</f>
        <v>0</v>
      </c>
      <c r="I5" s="23"/>
      <c r="J5" s="166"/>
    </row>
    <row r="6" spans="1:10" ht="25.5" customHeight="1">
      <c r="A6" s="476" t="s">
        <v>139</v>
      </c>
      <c r="B6" s="305">
        <v>3422</v>
      </c>
      <c r="C6" s="305">
        <v>2667</v>
      </c>
      <c r="D6" s="499">
        <f t="shared" ref="D6" si="5">+(B6-C6)/C6*100</f>
        <v>28.308961379827522</v>
      </c>
      <c r="F6" s="227">
        <f t="shared" ref="F6:F26" si="6">+C6*1.18</f>
        <v>3147.06</v>
      </c>
      <c r="G6" s="227">
        <f t="shared" ref="G6:G18" si="7">+F6-B6</f>
        <v>-274.94000000000005</v>
      </c>
      <c r="H6" s="166">
        <f t="shared" si="4"/>
        <v>3338</v>
      </c>
      <c r="I6" s="510">
        <v>2638</v>
      </c>
      <c r="J6" s="166">
        <v>700</v>
      </c>
    </row>
    <row r="7" spans="1:10" ht="25.5" customHeight="1">
      <c r="A7" s="476" t="s">
        <v>140</v>
      </c>
      <c r="B7" s="305">
        <v>154258</v>
      </c>
      <c r="C7" s="305">
        <v>154058</v>
      </c>
      <c r="D7" s="499">
        <f t="shared" ref="D7:D19" si="8">+(B7-C7)/C7*100</f>
        <v>0.12982123615781069</v>
      </c>
      <c r="F7" s="227">
        <f t="shared" si="6"/>
        <v>181788.44</v>
      </c>
      <c r="G7" s="227">
        <f t="shared" si="7"/>
        <v>27530.440000000002</v>
      </c>
      <c r="H7" s="166">
        <f t="shared" si="4"/>
        <v>173560</v>
      </c>
      <c r="I7" s="510">
        <v>148560</v>
      </c>
      <c r="J7" s="166">
        <f>20000+10000-5000</f>
        <v>25000</v>
      </c>
    </row>
    <row r="8" spans="1:10" ht="25.5" customHeight="1">
      <c r="A8" s="476" t="s">
        <v>141</v>
      </c>
      <c r="B8" s="305">
        <v>572617</v>
      </c>
      <c r="C8" s="305">
        <v>552898</v>
      </c>
      <c r="D8" s="499">
        <f t="shared" si="8"/>
        <v>3.5664806166779401</v>
      </c>
      <c r="F8" s="227">
        <f t="shared" si="6"/>
        <v>652419.64</v>
      </c>
      <c r="G8" s="227">
        <f t="shared" si="7"/>
        <v>79802.640000000014</v>
      </c>
      <c r="H8" s="166">
        <f t="shared" si="4"/>
        <v>647537</v>
      </c>
      <c r="I8" s="510">
        <v>555137</v>
      </c>
      <c r="J8" s="166">
        <f>84000+8400</f>
        <v>92400</v>
      </c>
    </row>
    <row r="9" spans="1:10" ht="25.5" customHeight="1">
      <c r="A9" s="476" t="s">
        <v>142</v>
      </c>
      <c r="B9" s="305">
        <v>37872</v>
      </c>
      <c r="C9" s="305">
        <v>25538</v>
      </c>
      <c r="D9" s="499">
        <f t="shared" si="8"/>
        <v>48.296655963661991</v>
      </c>
      <c r="F9" s="227">
        <f t="shared" si="6"/>
        <v>30134.84</v>
      </c>
      <c r="G9" s="227">
        <f t="shared" si="7"/>
        <v>-7737.16</v>
      </c>
      <c r="H9" s="166">
        <f t="shared" si="4"/>
        <v>29053</v>
      </c>
      <c r="I9" s="510">
        <v>28053</v>
      </c>
      <c r="J9" s="166">
        <v>1000</v>
      </c>
    </row>
    <row r="10" spans="1:10" ht="25.5" customHeight="1">
      <c r="A10" s="476" t="s">
        <v>143</v>
      </c>
      <c r="B10" s="305">
        <v>84358</v>
      </c>
      <c r="C10" s="305">
        <v>90905</v>
      </c>
      <c r="D10" s="499">
        <f t="shared" si="8"/>
        <v>-7.2020240910840982</v>
      </c>
      <c r="F10" s="227">
        <f t="shared" si="6"/>
        <v>107267.9</v>
      </c>
      <c r="G10" s="227">
        <f t="shared" si="7"/>
        <v>22909.899999999994</v>
      </c>
      <c r="H10" s="166">
        <f t="shared" si="4"/>
        <v>89195</v>
      </c>
      <c r="I10" s="510">
        <v>85595</v>
      </c>
      <c r="J10" s="166">
        <v>3600</v>
      </c>
    </row>
    <row r="11" spans="1:10" ht="25.5" customHeight="1">
      <c r="A11" s="476" t="s">
        <v>144</v>
      </c>
      <c r="B11" s="305">
        <v>690633</v>
      </c>
      <c r="C11" s="305">
        <v>577651</v>
      </c>
      <c r="D11" s="499">
        <f t="shared" si="8"/>
        <v>19.558868590204121</v>
      </c>
      <c r="F11" s="227">
        <f t="shared" si="6"/>
        <v>681628.17999999993</v>
      </c>
      <c r="G11" s="227">
        <f t="shared" si="7"/>
        <v>-9004.8200000000652</v>
      </c>
      <c r="H11" s="166">
        <f t="shared" si="4"/>
        <v>720533</v>
      </c>
      <c r="I11" s="510">
        <v>588533</v>
      </c>
      <c r="J11" s="166">
        <v>132000</v>
      </c>
    </row>
    <row r="12" spans="1:10" ht="25.5" customHeight="1">
      <c r="A12" s="476" t="s">
        <v>145</v>
      </c>
      <c r="B12" s="305">
        <v>380847</v>
      </c>
      <c r="C12" s="305">
        <v>359538</v>
      </c>
      <c r="D12" s="499">
        <f t="shared" si="8"/>
        <v>5.926772691620914</v>
      </c>
      <c r="F12" s="227">
        <f t="shared" si="6"/>
        <v>424254.83999999997</v>
      </c>
      <c r="G12" s="227">
        <f t="shared" si="7"/>
        <v>43407.839999999967</v>
      </c>
      <c r="H12" s="166">
        <f t="shared" si="4"/>
        <v>417250</v>
      </c>
      <c r="I12" s="510">
        <v>339250</v>
      </c>
      <c r="J12" s="166">
        <v>78000</v>
      </c>
    </row>
    <row r="13" spans="1:10" ht="25.5" customHeight="1">
      <c r="A13" s="476" t="s">
        <v>146</v>
      </c>
      <c r="B13" s="305">
        <v>77727</v>
      </c>
      <c r="C13" s="305">
        <v>77326</v>
      </c>
      <c r="D13" s="499">
        <f t="shared" si="8"/>
        <v>0.51858365879523061</v>
      </c>
      <c r="F13" s="227">
        <f t="shared" si="6"/>
        <v>91244.68</v>
      </c>
      <c r="G13" s="227">
        <f t="shared" si="7"/>
        <v>13517.679999999993</v>
      </c>
      <c r="H13" s="166">
        <f t="shared" si="4"/>
        <v>127507</v>
      </c>
      <c r="I13" s="510">
        <v>86007</v>
      </c>
      <c r="J13" s="166">
        <v>41500</v>
      </c>
    </row>
    <row r="14" spans="1:10" ht="25.5" customHeight="1">
      <c r="A14" s="476" t="s">
        <v>147</v>
      </c>
      <c r="B14" s="305">
        <v>163672</v>
      </c>
      <c r="C14" s="305">
        <v>178369</v>
      </c>
      <c r="D14" s="499">
        <f t="shared" si="8"/>
        <v>-8.239660479119129</v>
      </c>
      <c r="F14" s="227">
        <f t="shared" si="6"/>
        <v>210475.41999999998</v>
      </c>
      <c r="G14" s="227">
        <f t="shared" si="7"/>
        <v>46803.419999999984</v>
      </c>
      <c r="H14" s="166">
        <f t="shared" si="4"/>
        <v>152957</v>
      </c>
      <c r="I14" s="510">
        <v>152957</v>
      </c>
      <c r="J14" s="166"/>
    </row>
    <row r="15" spans="1:10" ht="25.5" customHeight="1">
      <c r="A15" s="479" t="s">
        <v>148</v>
      </c>
      <c r="B15" s="23">
        <v>540986</v>
      </c>
      <c r="C15" s="23">
        <v>441925</v>
      </c>
      <c r="D15" s="499">
        <f t="shared" si="8"/>
        <v>22.415794535271822</v>
      </c>
      <c r="F15" s="227">
        <f t="shared" si="6"/>
        <v>521471.5</v>
      </c>
      <c r="G15" s="227">
        <f t="shared" si="7"/>
        <v>-19514.5</v>
      </c>
      <c r="H15" s="166">
        <f t="shared" si="4"/>
        <v>320435</v>
      </c>
      <c r="I15" s="510">
        <v>420435</v>
      </c>
      <c r="J15" s="166">
        <v>-100000</v>
      </c>
    </row>
    <row r="16" spans="1:10" ht="25.5" customHeight="1">
      <c r="A16" s="479" t="s">
        <v>149</v>
      </c>
      <c r="B16" s="23">
        <v>144684</v>
      </c>
      <c r="C16" s="23">
        <v>155252</v>
      </c>
      <c r="D16" s="499">
        <f t="shared" si="8"/>
        <v>-6.8069976554247287</v>
      </c>
      <c r="F16" s="227">
        <f t="shared" si="6"/>
        <v>183197.36</v>
      </c>
      <c r="G16" s="227">
        <f t="shared" si="7"/>
        <v>38513.359999999986</v>
      </c>
      <c r="H16" s="166">
        <f t="shared" si="4"/>
        <v>96380</v>
      </c>
      <c r="I16" s="510">
        <v>146380</v>
      </c>
      <c r="J16" s="166">
        <v>-50000</v>
      </c>
    </row>
    <row r="17" spans="1:256" ht="25.5" customHeight="1">
      <c r="A17" s="479" t="s">
        <v>150</v>
      </c>
      <c r="B17" s="23">
        <v>59529</v>
      </c>
      <c r="C17" s="23">
        <v>54344</v>
      </c>
      <c r="D17" s="499">
        <f t="shared" si="8"/>
        <v>9.5410716914470779</v>
      </c>
      <c r="F17" s="227">
        <f t="shared" si="6"/>
        <v>64125.919999999998</v>
      </c>
      <c r="G17" s="227">
        <f t="shared" si="7"/>
        <v>4596.9199999999983</v>
      </c>
      <c r="H17" s="166">
        <f t="shared" si="4"/>
        <v>58613</v>
      </c>
      <c r="I17" s="510">
        <v>58613</v>
      </c>
      <c r="J17" s="166"/>
    </row>
    <row r="18" spans="1:256" ht="25.5" customHeight="1">
      <c r="A18" s="479" t="s">
        <v>151</v>
      </c>
      <c r="B18" s="23">
        <v>18993</v>
      </c>
      <c r="C18" s="23">
        <v>22591</v>
      </c>
      <c r="D18" s="499">
        <f t="shared" si="8"/>
        <v>-15.926696472046389</v>
      </c>
      <c r="F18" s="227">
        <f t="shared" si="6"/>
        <v>26657.379999999997</v>
      </c>
      <c r="G18" s="227">
        <f t="shared" si="7"/>
        <v>7664.3799999999974</v>
      </c>
      <c r="H18" s="166">
        <f t="shared" si="4"/>
        <v>14496</v>
      </c>
      <c r="I18" s="510">
        <v>14496</v>
      </c>
      <c r="J18" s="166"/>
    </row>
    <row r="19" spans="1:256" ht="25.5" customHeight="1">
      <c r="A19" s="479" t="s">
        <v>152</v>
      </c>
      <c r="B19" s="23">
        <v>398</v>
      </c>
      <c r="C19" s="23">
        <v>1479</v>
      </c>
      <c r="D19" s="499">
        <f t="shared" si="8"/>
        <v>-73.08992562542258</v>
      </c>
      <c r="F19" s="227">
        <f t="shared" si="6"/>
        <v>1745.2199999999998</v>
      </c>
      <c r="H19" s="166">
        <f t="shared" si="4"/>
        <v>482</v>
      </c>
      <c r="I19" s="23">
        <v>682</v>
      </c>
      <c r="J19" s="166">
        <v>-200</v>
      </c>
    </row>
    <row r="20" spans="1:256" ht="25.5" customHeight="1">
      <c r="A20" s="479" t="s">
        <v>153</v>
      </c>
      <c r="B20" s="23"/>
      <c r="C20" s="23"/>
      <c r="D20" s="499"/>
      <c r="F20" s="227">
        <f t="shared" si="6"/>
        <v>0</v>
      </c>
      <c r="H20" s="166">
        <f t="shared" si="4"/>
        <v>0</v>
      </c>
      <c r="I20" s="23"/>
      <c r="J20" s="166"/>
    </row>
    <row r="21" spans="1:256" ht="25.5" customHeight="1">
      <c r="A21" s="479" t="s">
        <v>154</v>
      </c>
      <c r="B21" s="23">
        <v>36824</v>
      </c>
      <c r="C21" s="23">
        <v>49852</v>
      </c>
      <c r="D21" s="499">
        <f t="shared" ref="D21:D26" si="9">+(B21-C21)/C21*100</f>
        <v>-26.133354730000804</v>
      </c>
      <c r="F21" s="227">
        <f t="shared" si="6"/>
        <v>58825.359999999993</v>
      </c>
      <c r="H21" s="166">
        <f t="shared" si="4"/>
        <v>30499</v>
      </c>
      <c r="I21" s="510">
        <v>33499</v>
      </c>
      <c r="J21" s="166">
        <v>-3000</v>
      </c>
    </row>
    <row r="22" spans="1:256" ht="25.5" customHeight="1">
      <c r="A22" s="479" t="s">
        <v>155</v>
      </c>
      <c r="B22" s="23">
        <v>154278</v>
      </c>
      <c r="C22" s="23">
        <v>180921</v>
      </c>
      <c r="D22" s="499">
        <f t="shared" si="9"/>
        <v>-14.726317011292222</v>
      </c>
      <c r="F22" s="227">
        <f t="shared" si="6"/>
        <v>213486.78</v>
      </c>
      <c r="H22" s="166">
        <f t="shared" si="4"/>
        <v>161992</v>
      </c>
      <c r="I22" s="510">
        <v>194992</v>
      </c>
      <c r="J22" s="166">
        <v>-33000</v>
      </c>
    </row>
    <row r="23" spans="1:256" ht="25.5" customHeight="1">
      <c r="A23" s="479" t="s">
        <v>156</v>
      </c>
      <c r="B23" s="23">
        <v>16086</v>
      </c>
      <c r="C23" s="23">
        <v>8517</v>
      </c>
      <c r="D23" s="499">
        <f t="shared" si="9"/>
        <v>88.869320183163083</v>
      </c>
      <c r="F23" s="227">
        <f t="shared" si="6"/>
        <v>10050.06</v>
      </c>
      <c r="H23" s="166">
        <f t="shared" si="4"/>
        <v>8473</v>
      </c>
      <c r="I23" s="510">
        <v>9473</v>
      </c>
      <c r="J23" s="166">
        <v>-1000</v>
      </c>
    </row>
    <row r="24" spans="1:256" ht="25.5" customHeight="1">
      <c r="A24" s="479" t="s">
        <v>157</v>
      </c>
      <c r="B24" s="23">
        <v>66756</v>
      </c>
      <c r="C24" s="23">
        <v>55165</v>
      </c>
      <c r="D24" s="499">
        <f t="shared" si="9"/>
        <v>21.011510921780115</v>
      </c>
      <c r="F24" s="227">
        <f t="shared" si="6"/>
        <v>65094.7</v>
      </c>
      <c r="H24" s="166">
        <f t="shared" si="4"/>
        <v>30818</v>
      </c>
      <c r="I24" s="510">
        <v>50818</v>
      </c>
      <c r="J24" s="166">
        <v>-20000</v>
      </c>
    </row>
    <row r="25" spans="1:256" ht="25.5" customHeight="1">
      <c r="A25" s="479" t="s">
        <v>158</v>
      </c>
      <c r="B25" s="23">
        <v>6793</v>
      </c>
      <c r="C25" s="23">
        <v>10019</v>
      </c>
      <c r="D25" s="499">
        <f t="shared" si="9"/>
        <v>-32.198822237748274</v>
      </c>
      <c r="F25" s="227">
        <f t="shared" si="6"/>
        <v>11822.42</v>
      </c>
      <c r="H25" s="166">
        <f t="shared" si="4"/>
        <v>11233</v>
      </c>
      <c r="I25" s="510">
        <v>47233</v>
      </c>
      <c r="J25" s="166">
        <v>-36000</v>
      </c>
    </row>
    <row r="26" spans="1:256" ht="25.5" customHeight="1">
      <c r="A26" s="41" t="s">
        <v>159</v>
      </c>
      <c r="B26" s="23">
        <f>SUM(B4:B25)</f>
        <v>3561095</v>
      </c>
      <c r="C26" s="338">
        <f>SUM(C4:C25)</f>
        <v>3345714</v>
      </c>
      <c r="D26" s="499">
        <f t="shared" si="9"/>
        <v>6.4375197640922091</v>
      </c>
      <c r="F26" s="227">
        <f t="shared" si="6"/>
        <v>3947942.52</v>
      </c>
      <c r="H26" s="166">
        <f t="shared" si="4"/>
        <v>3488433</v>
      </c>
      <c r="I26" s="511">
        <f>SUM(I4:I25)</f>
        <v>3301874</v>
      </c>
      <c r="J26" s="511">
        <f>SUM(J4:J25)</f>
        <v>186559</v>
      </c>
      <c r="K26" s="512"/>
    </row>
    <row r="27" spans="1:256" customFormat="1" hidden="1">
      <c r="A27" s="509"/>
      <c r="B27" s="509"/>
      <c r="C27" s="227"/>
      <c r="D27" s="227"/>
      <c r="E27" s="227"/>
      <c r="F27" s="227"/>
      <c r="G27" s="227"/>
      <c r="H27" s="227"/>
      <c r="I27" s="227"/>
      <c r="J27" s="227"/>
      <c r="K27" s="227">
        <v>3345714</v>
      </c>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BT27" s="227"/>
      <c r="BU27" s="227"/>
      <c r="BV27" s="227"/>
      <c r="BW27" s="227"/>
      <c r="BX27" s="227"/>
      <c r="BY27" s="227"/>
      <c r="BZ27" s="227"/>
      <c r="CA27" s="227"/>
      <c r="CB27" s="227"/>
      <c r="CC27" s="227"/>
      <c r="CD27" s="227"/>
      <c r="CE27" s="227"/>
      <c r="CF27" s="227"/>
      <c r="CG27" s="227"/>
      <c r="CH27" s="227"/>
      <c r="CI27" s="227"/>
      <c r="CJ27" s="227"/>
      <c r="CK27" s="227"/>
      <c r="CL27" s="227"/>
      <c r="CM27" s="227"/>
      <c r="CN27" s="227"/>
      <c r="CO27" s="227"/>
      <c r="CP27" s="227"/>
      <c r="CQ27" s="227"/>
      <c r="CR27" s="227"/>
      <c r="CS27" s="227"/>
      <c r="CT27" s="227"/>
      <c r="CU27" s="227"/>
      <c r="CV27" s="227"/>
      <c r="CW27" s="227"/>
      <c r="CX27" s="227"/>
      <c r="CY27" s="227"/>
      <c r="CZ27" s="227"/>
      <c r="DA27" s="227"/>
      <c r="DB27" s="227"/>
      <c r="DC27" s="227"/>
      <c r="DD27" s="227"/>
      <c r="DE27" s="227"/>
      <c r="DF27" s="227"/>
      <c r="DG27" s="227"/>
      <c r="DH27" s="227"/>
      <c r="DI27" s="227"/>
      <c r="DJ27" s="227"/>
      <c r="DK27" s="227"/>
      <c r="DL27" s="227"/>
      <c r="DM27" s="227"/>
      <c r="DN27" s="227"/>
      <c r="DO27" s="227"/>
      <c r="DP27" s="227"/>
      <c r="DQ27" s="227"/>
      <c r="DR27" s="227"/>
      <c r="DS27" s="227"/>
      <c r="DT27" s="227"/>
      <c r="DU27" s="227"/>
      <c r="DV27" s="227"/>
      <c r="DW27" s="227"/>
      <c r="DX27" s="227"/>
      <c r="DY27" s="227"/>
      <c r="DZ27" s="227"/>
      <c r="EA27" s="227"/>
      <c r="EB27" s="227"/>
      <c r="EC27" s="227"/>
      <c r="ED27" s="227"/>
      <c r="EE27" s="227"/>
      <c r="EF27" s="227"/>
      <c r="EG27" s="227"/>
      <c r="EH27" s="227"/>
      <c r="EI27" s="227"/>
      <c r="EJ27" s="227"/>
      <c r="EK27" s="227"/>
      <c r="EL27" s="227"/>
      <c r="EM27" s="227"/>
      <c r="EN27" s="227"/>
      <c r="EO27" s="227"/>
      <c r="EP27" s="227"/>
      <c r="EQ27" s="227"/>
      <c r="ER27" s="227"/>
      <c r="ES27" s="227"/>
      <c r="ET27" s="227"/>
      <c r="EU27" s="227"/>
      <c r="EV27" s="227"/>
      <c r="EW27" s="227"/>
      <c r="EX27" s="227"/>
      <c r="EY27" s="227"/>
      <c r="EZ27" s="227"/>
      <c r="FA27" s="227"/>
      <c r="FB27" s="227"/>
      <c r="FC27" s="227"/>
      <c r="FD27" s="227"/>
      <c r="FE27" s="227"/>
      <c r="FF27" s="227"/>
      <c r="FG27" s="227"/>
      <c r="FH27" s="227"/>
      <c r="FI27" s="227"/>
      <c r="FJ27" s="227"/>
      <c r="FK27" s="227"/>
      <c r="FL27" s="227"/>
      <c r="FM27" s="227"/>
      <c r="FN27" s="227"/>
      <c r="FO27" s="227"/>
      <c r="FP27" s="227"/>
      <c r="FQ27" s="227"/>
      <c r="FR27" s="227"/>
      <c r="FS27" s="227"/>
      <c r="FT27" s="227"/>
      <c r="FU27" s="227"/>
      <c r="FV27" s="227"/>
      <c r="FW27" s="227"/>
      <c r="FX27" s="227"/>
      <c r="FY27" s="227"/>
      <c r="FZ27" s="227"/>
      <c r="GA27" s="227"/>
      <c r="GB27" s="227"/>
      <c r="GC27" s="227"/>
      <c r="GD27" s="227"/>
      <c r="GE27" s="227"/>
      <c r="GF27" s="227"/>
      <c r="GG27" s="227"/>
      <c r="GH27" s="227"/>
      <c r="GI27" s="227"/>
      <c r="GJ27" s="227"/>
      <c r="GK27" s="227"/>
      <c r="GL27" s="227"/>
      <c r="GM27" s="227"/>
      <c r="GN27" s="227"/>
      <c r="GO27" s="227"/>
      <c r="GP27" s="227"/>
      <c r="GQ27" s="227"/>
      <c r="GR27" s="227"/>
      <c r="GS27" s="227"/>
      <c r="GT27" s="227"/>
      <c r="GU27" s="227"/>
      <c r="GV27" s="227"/>
      <c r="GW27" s="227"/>
      <c r="GX27" s="227"/>
      <c r="GY27" s="227"/>
      <c r="GZ27" s="227"/>
      <c r="HA27" s="227"/>
      <c r="HB27" s="227"/>
      <c r="HC27" s="227"/>
      <c r="HD27" s="227"/>
      <c r="HE27" s="227"/>
      <c r="HF27" s="227"/>
      <c r="HG27" s="227"/>
      <c r="HH27" s="227"/>
      <c r="HI27" s="227"/>
      <c r="HJ27" s="227"/>
      <c r="HK27" s="227"/>
      <c r="HL27" s="227"/>
      <c r="HM27" s="227"/>
      <c r="HN27" s="227"/>
      <c r="HO27" s="227"/>
      <c r="HP27" s="227"/>
      <c r="HQ27" s="227"/>
      <c r="HR27" s="227"/>
      <c r="HS27" s="227"/>
      <c r="HT27" s="227"/>
      <c r="HU27" s="227"/>
      <c r="HV27" s="227"/>
      <c r="HW27" s="227"/>
      <c r="HX27" s="227"/>
      <c r="HY27" s="227"/>
      <c r="HZ27" s="227"/>
      <c r="IA27" s="227"/>
      <c r="IB27" s="227"/>
      <c r="IC27" s="227"/>
      <c r="ID27" s="227"/>
      <c r="IE27" s="227"/>
      <c r="IF27" s="227"/>
      <c r="IG27" s="227"/>
      <c r="IH27" s="227"/>
      <c r="II27" s="227"/>
      <c r="IJ27" s="227"/>
      <c r="IK27" s="227"/>
      <c r="IL27" s="227"/>
      <c r="IM27" s="227"/>
      <c r="IN27" s="227"/>
      <c r="IO27" s="227"/>
      <c r="IP27" s="227"/>
      <c r="IQ27" s="227"/>
      <c r="IR27" s="227"/>
      <c r="IS27" s="227"/>
      <c r="IT27" s="227"/>
      <c r="IU27" s="227"/>
      <c r="IV27" s="227"/>
    </row>
    <row r="28" spans="1:256" ht="31.5" hidden="1" customHeight="1">
      <c r="A28" s="543"/>
      <c r="B28" s="543"/>
      <c r="C28" s="543"/>
      <c r="D28" s="543"/>
      <c r="H28" s="227">
        <v>3310387</v>
      </c>
      <c r="J28" s="227">
        <v>3434033</v>
      </c>
    </row>
    <row r="29" spans="1:256" hidden="1">
      <c r="B29" s="227">
        <f>+B4+B7+B8+B9+B11+B12+B13+B14</f>
        <v>2427988</v>
      </c>
      <c r="C29" s="227">
        <f>+C4+C7+C8+C9+C11+C12+C13+C14</f>
        <v>2272077</v>
      </c>
      <c r="H29" s="227">
        <f>+H28-H26</f>
        <v>-178046</v>
      </c>
      <c r="J29" s="227">
        <f>+J28-H26</f>
        <v>-54400</v>
      </c>
    </row>
    <row r="30" spans="1:256" customFormat="1" hidden="1">
      <c r="A30" s="227"/>
      <c r="B30" s="227"/>
      <c r="C30" s="227">
        <f>+B29/C29-1</f>
        <v>6.8620473689932071E-2</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227"/>
      <c r="BG30" s="227"/>
      <c r="BH30" s="227"/>
      <c r="BI30" s="227"/>
      <c r="BJ30" s="227"/>
      <c r="BK30" s="227"/>
      <c r="BL30" s="227"/>
      <c r="BM30" s="227"/>
      <c r="BN30" s="227"/>
      <c r="BO30" s="227"/>
      <c r="BP30" s="227"/>
      <c r="BQ30" s="227"/>
      <c r="BR30" s="227"/>
      <c r="BS30" s="227"/>
      <c r="BT30" s="227"/>
      <c r="BU30" s="227"/>
      <c r="BV30" s="227"/>
      <c r="BW30" s="227"/>
      <c r="BX30" s="227"/>
      <c r="BY30" s="227"/>
      <c r="BZ30" s="227"/>
      <c r="CA30" s="227"/>
      <c r="CB30" s="227"/>
      <c r="CC30" s="227"/>
      <c r="CD30" s="227"/>
      <c r="CE30" s="227"/>
      <c r="CF30" s="227"/>
      <c r="CG30" s="227"/>
      <c r="CH30" s="227"/>
      <c r="CI30" s="227"/>
      <c r="CJ30" s="227"/>
      <c r="CK30" s="227"/>
      <c r="CL30" s="227"/>
      <c r="CM30" s="227"/>
      <c r="CN30" s="227"/>
      <c r="CO30" s="227"/>
      <c r="CP30" s="227"/>
      <c r="CQ30" s="227"/>
      <c r="CR30" s="227"/>
      <c r="CS30" s="227"/>
      <c r="CT30" s="227"/>
      <c r="CU30" s="227"/>
      <c r="CV30" s="227"/>
      <c r="CW30" s="227"/>
      <c r="CX30" s="227"/>
      <c r="CY30" s="227"/>
      <c r="CZ30" s="227"/>
      <c r="DA30" s="227"/>
      <c r="DB30" s="227"/>
      <c r="DC30" s="227"/>
      <c r="DD30" s="227"/>
      <c r="DE30" s="227"/>
      <c r="DF30" s="227"/>
      <c r="DG30" s="227"/>
      <c r="DH30" s="227"/>
      <c r="DI30" s="227"/>
      <c r="DJ30" s="227"/>
      <c r="DK30" s="227"/>
      <c r="DL30" s="227"/>
      <c r="DM30" s="227"/>
      <c r="DN30" s="227"/>
      <c r="DO30" s="227"/>
      <c r="DP30" s="227"/>
      <c r="DQ30" s="227"/>
      <c r="DR30" s="227"/>
      <c r="DS30" s="227"/>
      <c r="DT30" s="227"/>
      <c r="DU30" s="227"/>
      <c r="DV30" s="227"/>
      <c r="DW30" s="227"/>
      <c r="DX30" s="227"/>
      <c r="DY30" s="227"/>
      <c r="DZ30" s="227"/>
      <c r="EA30" s="227"/>
      <c r="EB30" s="227"/>
      <c r="EC30" s="227"/>
      <c r="ED30" s="227"/>
      <c r="EE30" s="227"/>
      <c r="EF30" s="227"/>
      <c r="EG30" s="227"/>
      <c r="EH30" s="227"/>
      <c r="EI30" s="227"/>
      <c r="EJ30" s="227"/>
      <c r="EK30" s="227"/>
      <c r="EL30" s="227"/>
      <c r="EM30" s="227"/>
      <c r="EN30" s="227"/>
      <c r="EO30" s="227"/>
      <c r="EP30" s="227"/>
      <c r="EQ30" s="227"/>
      <c r="ER30" s="227"/>
      <c r="ES30" s="227"/>
      <c r="ET30" s="227"/>
      <c r="EU30" s="227"/>
      <c r="EV30" s="227"/>
      <c r="EW30" s="227"/>
      <c r="EX30" s="227"/>
      <c r="EY30" s="227"/>
      <c r="EZ30" s="227"/>
      <c r="FA30" s="227"/>
      <c r="FB30" s="227"/>
      <c r="FC30" s="227"/>
      <c r="FD30" s="227"/>
      <c r="FE30" s="227"/>
      <c r="FF30" s="227"/>
      <c r="FG30" s="227"/>
      <c r="FH30" s="227"/>
      <c r="FI30" s="227"/>
      <c r="FJ30" s="227"/>
      <c r="FK30" s="227"/>
      <c r="FL30" s="227"/>
      <c r="FM30" s="227"/>
      <c r="FN30" s="227"/>
      <c r="FO30" s="227"/>
      <c r="FP30" s="227"/>
      <c r="FQ30" s="227"/>
      <c r="FR30" s="227"/>
      <c r="FS30" s="227"/>
      <c r="FT30" s="227"/>
      <c r="FU30" s="227"/>
      <c r="FV30" s="227"/>
      <c r="FW30" s="227"/>
      <c r="FX30" s="227"/>
      <c r="FY30" s="227"/>
      <c r="FZ30" s="227"/>
      <c r="GA30" s="227"/>
      <c r="GB30" s="227"/>
      <c r="GC30" s="227"/>
      <c r="GD30" s="227"/>
      <c r="GE30" s="227"/>
      <c r="GF30" s="227"/>
      <c r="GG30" s="227"/>
      <c r="GH30" s="227"/>
      <c r="GI30" s="227"/>
      <c r="GJ30" s="227"/>
      <c r="GK30" s="227"/>
      <c r="GL30" s="227"/>
      <c r="GM30" s="227"/>
      <c r="GN30" s="227"/>
      <c r="GO30" s="227"/>
      <c r="GP30" s="227"/>
      <c r="GQ30" s="227"/>
      <c r="GR30" s="227"/>
      <c r="GS30" s="227"/>
      <c r="GT30" s="227"/>
      <c r="GU30" s="227"/>
      <c r="GV30" s="227"/>
      <c r="GW30" s="227"/>
      <c r="GX30" s="227"/>
      <c r="GY30" s="227"/>
      <c r="GZ30" s="227"/>
      <c r="HA30" s="227"/>
      <c r="HB30" s="227"/>
      <c r="HC30" s="227"/>
      <c r="HD30" s="227"/>
      <c r="HE30" s="227"/>
      <c r="HF30" s="227"/>
      <c r="HG30" s="227"/>
      <c r="HH30" s="227"/>
      <c r="HI30" s="227"/>
      <c r="HJ30" s="227"/>
      <c r="HK30" s="227"/>
      <c r="HL30" s="227"/>
      <c r="HM30" s="227"/>
      <c r="HN30" s="227"/>
      <c r="HO30" s="227"/>
      <c r="HP30" s="227"/>
      <c r="HQ30" s="227"/>
      <c r="HR30" s="227"/>
      <c r="HS30" s="227"/>
      <c r="HT30" s="227"/>
      <c r="HU30" s="227"/>
      <c r="HV30" s="227"/>
      <c r="HW30" s="227"/>
      <c r="HX30" s="227"/>
      <c r="HY30" s="227"/>
      <c r="HZ30" s="227"/>
      <c r="IA30" s="227"/>
      <c r="IB30" s="227"/>
      <c r="IC30" s="227"/>
      <c r="ID30" s="227"/>
      <c r="IE30" s="227"/>
      <c r="IF30" s="227"/>
      <c r="IG30" s="227"/>
      <c r="IH30" s="227"/>
      <c r="II30" s="227"/>
      <c r="IJ30" s="227"/>
      <c r="IK30" s="227"/>
      <c r="IL30" s="227"/>
      <c r="IM30" s="227"/>
      <c r="IN30" s="227"/>
      <c r="IO30" s="227"/>
      <c r="IP30" s="227"/>
      <c r="IQ30" s="227"/>
      <c r="IR30" s="227"/>
      <c r="IS30" s="227"/>
      <c r="IT30" s="227"/>
      <c r="IU30" s="227"/>
      <c r="IV30" s="227"/>
    </row>
    <row r="31" spans="1:256" customFormat="1">
      <c r="A31" s="227"/>
      <c r="B31" s="227"/>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S31" s="227"/>
      <c r="BT31" s="227"/>
      <c r="BU31" s="227"/>
      <c r="BV31" s="227"/>
      <c r="BW31" s="227"/>
      <c r="BX31" s="227"/>
      <c r="BY31" s="227"/>
      <c r="BZ31" s="227"/>
      <c r="CA31" s="227"/>
      <c r="CB31" s="227"/>
      <c r="CC31" s="227"/>
      <c r="CD31" s="227"/>
      <c r="CE31" s="227"/>
      <c r="CF31" s="227"/>
      <c r="CG31" s="227"/>
      <c r="CH31" s="227"/>
      <c r="CI31" s="227"/>
      <c r="CJ31" s="227"/>
      <c r="CK31" s="227"/>
      <c r="CL31" s="227"/>
      <c r="CM31" s="227"/>
      <c r="CN31" s="227"/>
      <c r="CO31" s="227"/>
      <c r="CP31" s="227"/>
      <c r="CQ31" s="227"/>
      <c r="CR31" s="227"/>
      <c r="CS31" s="227"/>
      <c r="CT31" s="227"/>
      <c r="CU31" s="227"/>
      <c r="CV31" s="227"/>
      <c r="CW31" s="227"/>
      <c r="CX31" s="227"/>
      <c r="CY31" s="227"/>
      <c r="CZ31" s="227"/>
      <c r="DA31" s="227"/>
      <c r="DB31" s="227"/>
      <c r="DC31" s="227"/>
      <c r="DD31" s="227"/>
      <c r="DE31" s="227"/>
      <c r="DF31" s="227"/>
      <c r="DG31" s="227"/>
      <c r="DH31" s="227"/>
      <c r="DI31" s="227"/>
      <c r="DJ31" s="227"/>
      <c r="DK31" s="227"/>
      <c r="DL31" s="227"/>
      <c r="DM31" s="227"/>
      <c r="DN31" s="227"/>
      <c r="DO31" s="227"/>
      <c r="DP31" s="227"/>
      <c r="DQ31" s="227"/>
      <c r="DR31" s="227"/>
      <c r="DS31" s="227"/>
      <c r="DT31" s="227"/>
      <c r="DU31" s="227"/>
      <c r="DV31" s="227"/>
      <c r="DW31" s="227"/>
      <c r="DX31" s="227"/>
      <c r="DY31" s="227"/>
      <c r="DZ31" s="227"/>
      <c r="EA31" s="227"/>
      <c r="EB31" s="227"/>
      <c r="EC31" s="227"/>
      <c r="ED31" s="227"/>
      <c r="EE31" s="227"/>
      <c r="EF31" s="227"/>
      <c r="EG31" s="227"/>
      <c r="EH31" s="227"/>
      <c r="EI31" s="227"/>
      <c r="EJ31" s="227"/>
      <c r="EK31" s="227"/>
      <c r="EL31" s="227"/>
      <c r="EM31" s="227"/>
      <c r="EN31" s="227"/>
      <c r="EO31" s="227"/>
      <c r="EP31" s="227"/>
      <c r="EQ31" s="227"/>
      <c r="ER31" s="227"/>
      <c r="ES31" s="227"/>
      <c r="ET31" s="227"/>
      <c r="EU31" s="227"/>
      <c r="EV31" s="227"/>
      <c r="EW31" s="227"/>
      <c r="EX31" s="227"/>
      <c r="EY31" s="227"/>
      <c r="EZ31" s="227"/>
      <c r="FA31" s="227"/>
      <c r="FB31" s="227"/>
      <c r="FC31" s="227"/>
      <c r="FD31" s="227"/>
      <c r="FE31" s="227"/>
      <c r="FF31" s="227"/>
      <c r="FG31" s="227"/>
      <c r="FH31" s="227"/>
      <c r="FI31" s="227"/>
      <c r="FJ31" s="227"/>
      <c r="FK31" s="227"/>
      <c r="FL31" s="227"/>
      <c r="FM31" s="227"/>
      <c r="FN31" s="227"/>
      <c r="FO31" s="227"/>
      <c r="FP31" s="227"/>
      <c r="FQ31" s="227"/>
      <c r="FR31" s="227"/>
      <c r="FS31" s="227"/>
      <c r="FT31" s="227"/>
      <c r="FU31" s="227"/>
      <c r="FV31" s="227"/>
      <c r="FW31" s="227"/>
      <c r="FX31" s="227"/>
      <c r="FY31" s="227"/>
      <c r="FZ31" s="227"/>
      <c r="GA31" s="227"/>
      <c r="GB31" s="227"/>
      <c r="GC31" s="227"/>
      <c r="GD31" s="227"/>
      <c r="GE31" s="227"/>
      <c r="GF31" s="227"/>
      <c r="GG31" s="227"/>
      <c r="GH31" s="227"/>
      <c r="GI31" s="227"/>
      <c r="GJ31" s="227"/>
      <c r="GK31" s="227"/>
      <c r="GL31" s="227"/>
      <c r="GM31" s="227"/>
      <c r="GN31" s="227"/>
      <c r="GO31" s="227"/>
      <c r="GP31" s="227"/>
      <c r="GQ31" s="227"/>
      <c r="GR31" s="227"/>
      <c r="GS31" s="227"/>
      <c r="GT31" s="227"/>
      <c r="GU31" s="227"/>
      <c r="GV31" s="227"/>
      <c r="GW31" s="227"/>
      <c r="GX31" s="227"/>
      <c r="GY31" s="227"/>
      <c r="GZ31" s="227"/>
      <c r="HA31" s="227"/>
      <c r="HB31" s="227"/>
      <c r="HC31" s="227"/>
      <c r="HD31" s="227"/>
      <c r="HE31" s="227"/>
      <c r="HF31" s="227"/>
      <c r="HG31" s="227"/>
      <c r="HH31" s="227"/>
      <c r="HI31" s="227"/>
      <c r="HJ31" s="227"/>
      <c r="HK31" s="227"/>
      <c r="HL31" s="227"/>
      <c r="HM31" s="227"/>
      <c r="HN31" s="227"/>
      <c r="HO31" s="227"/>
      <c r="HP31" s="227"/>
      <c r="HQ31" s="227"/>
      <c r="HR31" s="227"/>
      <c r="HS31" s="227"/>
      <c r="HT31" s="227"/>
      <c r="HU31" s="227"/>
      <c r="HV31" s="227"/>
      <c r="HW31" s="227"/>
      <c r="HX31" s="227"/>
      <c r="HY31" s="227"/>
      <c r="HZ31" s="227"/>
      <c r="IA31" s="227"/>
      <c r="IB31" s="227"/>
      <c r="IC31" s="227"/>
      <c r="ID31" s="227"/>
      <c r="IE31" s="227"/>
      <c r="IF31" s="227"/>
      <c r="IG31" s="227"/>
      <c r="IH31" s="227"/>
      <c r="II31" s="227"/>
      <c r="IJ31" s="227"/>
      <c r="IK31" s="227"/>
      <c r="IL31" s="227"/>
      <c r="IM31" s="227"/>
      <c r="IN31" s="227"/>
      <c r="IO31" s="227"/>
      <c r="IP31" s="227"/>
      <c r="IQ31" s="227"/>
      <c r="IR31" s="227"/>
      <c r="IS31" s="227"/>
      <c r="IT31" s="227"/>
      <c r="IU31" s="227"/>
      <c r="IV31" s="227"/>
    </row>
    <row r="32" spans="1:256" customFormat="1">
      <c r="A32" s="227"/>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S32" s="227"/>
      <c r="BT32" s="227"/>
      <c r="BU32" s="227"/>
      <c r="BV32" s="227"/>
      <c r="BW32" s="227"/>
      <c r="BX32" s="227"/>
      <c r="BY32" s="227"/>
      <c r="BZ32" s="227"/>
      <c r="CA32" s="227"/>
      <c r="CB32" s="227"/>
      <c r="CC32" s="227"/>
      <c r="CD32" s="227"/>
      <c r="CE32" s="227"/>
      <c r="CF32" s="227"/>
      <c r="CG32" s="227"/>
      <c r="CH32" s="227"/>
      <c r="CI32" s="227"/>
      <c r="CJ32" s="227"/>
      <c r="CK32" s="227"/>
      <c r="CL32" s="227"/>
      <c r="CM32" s="227"/>
      <c r="CN32" s="227"/>
      <c r="CO32" s="227"/>
      <c r="CP32" s="227"/>
      <c r="CQ32" s="227"/>
      <c r="CR32" s="227"/>
      <c r="CS32" s="227"/>
      <c r="CT32" s="227"/>
      <c r="CU32" s="227"/>
      <c r="CV32" s="227"/>
      <c r="CW32" s="227"/>
      <c r="CX32" s="227"/>
      <c r="CY32" s="227"/>
      <c r="CZ32" s="227"/>
      <c r="DA32" s="227"/>
      <c r="DB32" s="227"/>
      <c r="DC32" s="227"/>
      <c r="DD32" s="227"/>
      <c r="DE32" s="227"/>
      <c r="DF32" s="227"/>
      <c r="DG32" s="227"/>
      <c r="DH32" s="227"/>
      <c r="DI32" s="227"/>
      <c r="DJ32" s="227"/>
      <c r="DK32" s="227"/>
      <c r="DL32" s="227"/>
      <c r="DM32" s="227"/>
      <c r="DN32" s="227"/>
      <c r="DO32" s="227"/>
      <c r="DP32" s="227"/>
      <c r="DQ32" s="227"/>
      <c r="DR32" s="227"/>
      <c r="DS32" s="227"/>
      <c r="DT32" s="227"/>
      <c r="DU32" s="227"/>
      <c r="DV32" s="227"/>
      <c r="DW32" s="227"/>
      <c r="DX32" s="227"/>
      <c r="DY32" s="227"/>
      <c r="DZ32" s="227"/>
      <c r="EA32" s="227"/>
      <c r="EB32" s="227"/>
      <c r="EC32" s="227"/>
      <c r="ED32" s="227"/>
      <c r="EE32" s="227"/>
      <c r="EF32" s="227"/>
      <c r="EG32" s="227"/>
      <c r="EH32" s="227"/>
      <c r="EI32" s="227"/>
      <c r="EJ32" s="227"/>
      <c r="EK32" s="227"/>
      <c r="EL32" s="227"/>
      <c r="EM32" s="227"/>
      <c r="EN32" s="227"/>
      <c r="EO32" s="227"/>
      <c r="EP32" s="227"/>
      <c r="EQ32" s="227"/>
      <c r="ER32" s="227"/>
      <c r="ES32" s="227"/>
      <c r="ET32" s="227"/>
      <c r="EU32" s="227"/>
      <c r="EV32" s="227"/>
      <c r="EW32" s="227"/>
      <c r="EX32" s="227"/>
      <c r="EY32" s="227"/>
      <c r="EZ32" s="227"/>
      <c r="FA32" s="227"/>
      <c r="FB32" s="227"/>
      <c r="FC32" s="227"/>
      <c r="FD32" s="227"/>
      <c r="FE32" s="227"/>
      <c r="FF32" s="227"/>
      <c r="FG32" s="227"/>
      <c r="FH32" s="227"/>
      <c r="FI32" s="227"/>
      <c r="FJ32" s="227"/>
      <c r="FK32" s="227"/>
      <c r="FL32" s="227"/>
      <c r="FM32" s="227"/>
      <c r="FN32" s="227"/>
      <c r="FO32" s="227"/>
      <c r="FP32" s="227"/>
      <c r="FQ32" s="227"/>
      <c r="FR32" s="227"/>
      <c r="FS32" s="227"/>
      <c r="FT32" s="227"/>
      <c r="FU32" s="227"/>
      <c r="FV32" s="227"/>
      <c r="FW32" s="227"/>
      <c r="FX32" s="227"/>
      <c r="FY32" s="227"/>
      <c r="FZ32" s="227"/>
      <c r="GA32" s="227"/>
      <c r="GB32" s="227"/>
      <c r="GC32" s="227"/>
      <c r="GD32" s="227"/>
      <c r="GE32" s="227"/>
      <c r="GF32" s="227"/>
      <c r="GG32" s="227"/>
      <c r="GH32" s="227"/>
      <c r="GI32" s="227"/>
      <c r="GJ32" s="227"/>
      <c r="GK32" s="227"/>
      <c r="GL32" s="227"/>
      <c r="GM32" s="227"/>
      <c r="GN32" s="227"/>
      <c r="GO32" s="227"/>
      <c r="GP32" s="227"/>
      <c r="GQ32" s="227"/>
      <c r="GR32" s="227"/>
      <c r="GS32" s="227"/>
      <c r="GT32" s="227"/>
      <c r="GU32" s="227"/>
      <c r="GV32" s="227"/>
      <c r="GW32" s="227"/>
      <c r="GX32" s="227"/>
      <c r="GY32" s="227"/>
      <c r="GZ32" s="227"/>
      <c r="HA32" s="227"/>
      <c r="HB32" s="227"/>
      <c r="HC32" s="227"/>
      <c r="HD32" s="227"/>
      <c r="HE32" s="227"/>
      <c r="HF32" s="227"/>
      <c r="HG32" s="227"/>
      <c r="HH32" s="227"/>
      <c r="HI32" s="227"/>
      <c r="HJ32" s="227"/>
      <c r="HK32" s="227"/>
      <c r="HL32" s="227"/>
      <c r="HM32" s="227"/>
      <c r="HN32" s="227"/>
      <c r="HO32" s="227"/>
      <c r="HP32" s="227"/>
      <c r="HQ32" s="227"/>
      <c r="HR32" s="227"/>
      <c r="HS32" s="227"/>
      <c r="HT32" s="227"/>
      <c r="HU32" s="227"/>
      <c r="HV32" s="227"/>
      <c r="HW32" s="227"/>
      <c r="HX32" s="227"/>
      <c r="HY32" s="227"/>
      <c r="HZ32" s="227"/>
      <c r="IA32" s="227"/>
      <c r="IB32" s="227"/>
      <c r="IC32" s="227"/>
      <c r="ID32" s="227"/>
      <c r="IE32" s="227"/>
      <c r="IF32" s="227"/>
      <c r="IG32" s="227"/>
      <c r="IH32" s="227"/>
      <c r="II32" s="227"/>
      <c r="IJ32" s="227"/>
      <c r="IK32" s="227"/>
      <c r="IL32" s="227"/>
      <c r="IM32" s="227"/>
      <c r="IN32" s="227"/>
      <c r="IO32" s="227"/>
      <c r="IP32" s="227"/>
      <c r="IQ32" s="227"/>
      <c r="IR32" s="227"/>
      <c r="IS32" s="227"/>
      <c r="IT32" s="227"/>
      <c r="IU32" s="227"/>
      <c r="IV32" s="227"/>
    </row>
    <row r="33" spans="1:256" customFormat="1">
      <c r="A33" s="227"/>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S33" s="227"/>
      <c r="BT33" s="227"/>
      <c r="BU33" s="227"/>
      <c r="BV33" s="227"/>
      <c r="BW33" s="227"/>
      <c r="BX33" s="227"/>
      <c r="BY33" s="227"/>
      <c r="BZ33" s="227"/>
      <c r="CA33" s="227"/>
      <c r="CB33" s="227"/>
      <c r="CC33" s="227"/>
      <c r="CD33" s="227"/>
      <c r="CE33" s="227"/>
      <c r="CF33" s="227"/>
      <c r="CG33" s="227"/>
      <c r="CH33" s="227"/>
      <c r="CI33" s="227"/>
      <c r="CJ33" s="227"/>
      <c r="CK33" s="227"/>
      <c r="CL33" s="227"/>
      <c r="CM33" s="227"/>
      <c r="CN33" s="227"/>
      <c r="CO33" s="227"/>
      <c r="CP33" s="227"/>
      <c r="CQ33" s="227"/>
      <c r="CR33" s="227"/>
      <c r="CS33" s="227"/>
      <c r="CT33" s="227"/>
      <c r="CU33" s="227"/>
      <c r="CV33" s="227"/>
      <c r="CW33" s="227"/>
      <c r="CX33" s="227"/>
      <c r="CY33" s="227"/>
      <c r="CZ33" s="227"/>
      <c r="DA33" s="227"/>
      <c r="DB33" s="227"/>
      <c r="DC33" s="227"/>
      <c r="DD33" s="227"/>
      <c r="DE33" s="227"/>
      <c r="DF33" s="227"/>
      <c r="DG33" s="227"/>
      <c r="DH33" s="227"/>
      <c r="DI33" s="227"/>
      <c r="DJ33" s="227"/>
      <c r="DK33" s="227"/>
      <c r="DL33" s="227"/>
      <c r="DM33" s="227"/>
      <c r="DN33" s="227"/>
      <c r="DO33" s="227"/>
      <c r="DP33" s="227"/>
      <c r="DQ33" s="227"/>
      <c r="DR33" s="227"/>
      <c r="DS33" s="227"/>
      <c r="DT33" s="227"/>
      <c r="DU33" s="227"/>
      <c r="DV33" s="227"/>
      <c r="DW33" s="227"/>
      <c r="DX33" s="227"/>
      <c r="DY33" s="227"/>
      <c r="DZ33" s="227"/>
      <c r="EA33" s="227"/>
      <c r="EB33" s="227"/>
      <c r="EC33" s="227"/>
      <c r="ED33" s="227"/>
      <c r="EE33" s="227"/>
      <c r="EF33" s="227"/>
      <c r="EG33" s="227"/>
      <c r="EH33" s="227"/>
      <c r="EI33" s="227"/>
      <c r="EJ33" s="227"/>
      <c r="EK33" s="227"/>
      <c r="EL33" s="227"/>
      <c r="EM33" s="227"/>
      <c r="EN33" s="227"/>
      <c r="EO33" s="227"/>
      <c r="EP33" s="227"/>
      <c r="EQ33" s="227"/>
      <c r="ER33" s="227"/>
      <c r="ES33" s="227"/>
      <c r="ET33" s="227"/>
      <c r="EU33" s="227"/>
      <c r="EV33" s="227"/>
      <c r="EW33" s="227"/>
      <c r="EX33" s="227"/>
      <c r="EY33" s="227"/>
      <c r="EZ33" s="227"/>
      <c r="FA33" s="227"/>
      <c r="FB33" s="227"/>
      <c r="FC33" s="227"/>
      <c r="FD33" s="227"/>
      <c r="FE33" s="227"/>
      <c r="FF33" s="227"/>
      <c r="FG33" s="227"/>
      <c r="FH33" s="227"/>
      <c r="FI33" s="227"/>
      <c r="FJ33" s="227"/>
      <c r="FK33" s="227"/>
      <c r="FL33" s="227"/>
      <c r="FM33" s="227"/>
      <c r="FN33" s="227"/>
      <c r="FO33" s="227"/>
      <c r="FP33" s="227"/>
      <c r="FQ33" s="227"/>
      <c r="FR33" s="227"/>
      <c r="FS33" s="227"/>
      <c r="FT33" s="227"/>
      <c r="FU33" s="227"/>
      <c r="FV33" s="227"/>
      <c r="FW33" s="227"/>
      <c r="FX33" s="227"/>
      <c r="FY33" s="227"/>
      <c r="FZ33" s="227"/>
      <c r="GA33" s="227"/>
      <c r="GB33" s="227"/>
      <c r="GC33" s="227"/>
      <c r="GD33" s="227"/>
      <c r="GE33" s="227"/>
      <c r="GF33" s="227"/>
      <c r="GG33" s="227"/>
      <c r="GH33" s="227"/>
      <c r="GI33" s="227"/>
      <c r="GJ33" s="227"/>
      <c r="GK33" s="227"/>
      <c r="GL33" s="227"/>
      <c r="GM33" s="227"/>
      <c r="GN33" s="227"/>
      <c r="GO33" s="227"/>
      <c r="GP33" s="227"/>
      <c r="GQ33" s="227"/>
      <c r="GR33" s="227"/>
      <c r="GS33" s="227"/>
      <c r="GT33" s="227"/>
      <c r="GU33" s="227"/>
      <c r="GV33" s="227"/>
      <c r="GW33" s="227"/>
      <c r="GX33" s="227"/>
      <c r="GY33" s="227"/>
      <c r="GZ33" s="227"/>
      <c r="HA33" s="227"/>
      <c r="HB33" s="227"/>
      <c r="HC33" s="227"/>
      <c r="HD33" s="227"/>
      <c r="HE33" s="227"/>
      <c r="HF33" s="227"/>
      <c r="HG33" s="227"/>
      <c r="HH33" s="227"/>
      <c r="HI33" s="227"/>
      <c r="HJ33" s="227"/>
      <c r="HK33" s="227"/>
      <c r="HL33" s="227"/>
      <c r="HM33" s="227"/>
      <c r="HN33" s="227"/>
      <c r="HO33" s="227"/>
      <c r="HP33" s="227"/>
      <c r="HQ33" s="227"/>
      <c r="HR33" s="227"/>
      <c r="HS33" s="227"/>
      <c r="HT33" s="227"/>
      <c r="HU33" s="227"/>
      <c r="HV33" s="227"/>
      <c r="HW33" s="227"/>
      <c r="HX33" s="227"/>
      <c r="HY33" s="227"/>
      <c r="HZ33" s="227"/>
      <c r="IA33" s="227"/>
      <c r="IB33" s="227"/>
      <c r="IC33" s="227"/>
      <c r="ID33" s="227"/>
      <c r="IE33" s="227"/>
      <c r="IF33" s="227"/>
      <c r="IG33" s="227"/>
      <c r="IH33" s="227"/>
      <c r="II33" s="227"/>
      <c r="IJ33" s="227"/>
      <c r="IK33" s="227"/>
      <c r="IL33" s="227"/>
      <c r="IM33" s="227"/>
      <c r="IN33" s="227"/>
      <c r="IO33" s="227"/>
      <c r="IP33" s="227"/>
      <c r="IQ33" s="227"/>
      <c r="IR33" s="227"/>
      <c r="IS33" s="227"/>
      <c r="IT33" s="227"/>
      <c r="IU33" s="227"/>
      <c r="IV33" s="227"/>
    </row>
    <row r="34" spans="1:256" customFormat="1">
      <c r="A34" s="227"/>
      <c r="B34" s="227"/>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c r="BS34" s="227"/>
      <c r="BT34" s="227"/>
      <c r="BU34" s="227"/>
      <c r="BV34" s="227"/>
      <c r="BW34" s="227"/>
      <c r="BX34" s="227"/>
      <c r="BY34" s="227"/>
      <c r="BZ34" s="227"/>
      <c r="CA34" s="227"/>
      <c r="CB34" s="227"/>
      <c r="CC34" s="227"/>
      <c r="CD34" s="227"/>
      <c r="CE34" s="227"/>
      <c r="CF34" s="227"/>
      <c r="CG34" s="227"/>
      <c r="CH34" s="227"/>
      <c r="CI34" s="227"/>
      <c r="CJ34" s="227"/>
      <c r="CK34" s="227"/>
      <c r="CL34" s="227"/>
      <c r="CM34" s="227"/>
      <c r="CN34" s="227"/>
      <c r="CO34" s="227"/>
      <c r="CP34" s="227"/>
      <c r="CQ34" s="227"/>
      <c r="CR34" s="227"/>
      <c r="CS34" s="227"/>
      <c r="CT34" s="227"/>
      <c r="CU34" s="227"/>
      <c r="CV34" s="227"/>
      <c r="CW34" s="227"/>
      <c r="CX34" s="227"/>
      <c r="CY34" s="227"/>
      <c r="CZ34" s="227"/>
      <c r="DA34" s="227"/>
      <c r="DB34" s="227"/>
      <c r="DC34" s="227"/>
      <c r="DD34" s="227"/>
      <c r="DE34" s="227"/>
      <c r="DF34" s="227"/>
      <c r="DG34" s="227"/>
      <c r="DH34" s="227"/>
      <c r="DI34" s="227"/>
      <c r="DJ34" s="227"/>
      <c r="DK34" s="227"/>
      <c r="DL34" s="227"/>
      <c r="DM34" s="227"/>
      <c r="DN34" s="227"/>
      <c r="DO34" s="227"/>
      <c r="DP34" s="227"/>
      <c r="DQ34" s="227"/>
      <c r="DR34" s="227"/>
      <c r="DS34" s="227"/>
      <c r="DT34" s="227"/>
      <c r="DU34" s="227"/>
      <c r="DV34" s="227"/>
      <c r="DW34" s="227"/>
      <c r="DX34" s="227"/>
      <c r="DY34" s="227"/>
      <c r="DZ34" s="227"/>
      <c r="EA34" s="227"/>
      <c r="EB34" s="227"/>
      <c r="EC34" s="227"/>
      <c r="ED34" s="227"/>
      <c r="EE34" s="227"/>
      <c r="EF34" s="227"/>
      <c r="EG34" s="227"/>
      <c r="EH34" s="227"/>
      <c r="EI34" s="227"/>
      <c r="EJ34" s="227"/>
      <c r="EK34" s="227"/>
      <c r="EL34" s="227"/>
      <c r="EM34" s="227"/>
      <c r="EN34" s="227"/>
      <c r="EO34" s="227"/>
      <c r="EP34" s="227"/>
      <c r="EQ34" s="227"/>
      <c r="ER34" s="227"/>
      <c r="ES34" s="227"/>
      <c r="ET34" s="227"/>
      <c r="EU34" s="227"/>
      <c r="EV34" s="227"/>
      <c r="EW34" s="227"/>
      <c r="EX34" s="227"/>
      <c r="EY34" s="227"/>
      <c r="EZ34" s="227"/>
      <c r="FA34" s="227"/>
      <c r="FB34" s="227"/>
      <c r="FC34" s="227"/>
      <c r="FD34" s="227"/>
      <c r="FE34" s="227"/>
      <c r="FF34" s="227"/>
      <c r="FG34" s="227"/>
      <c r="FH34" s="227"/>
      <c r="FI34" s="227"/>
      <c r="FJ34" s="227"/>
      <c r="FK34" s="227"/>
      <c r="FL34" s="227"/>
      <c r="FM34" s="227"/>
      <c r="FN34" s="227"/>
      <c r="FO34" s="227"/>
      <c r="FP34" s="227"/>
      <c r="FQ34" s="227"/>
      <c r="FR34" s="227"/>
      <c r="FS34" s="227"/>
      <c r="FT34" s="227"/>
      <c r="FU34" s="227"/>
      <c r="FV34" s="227"/>
      <c r="FW34" s="227"/>
      <c r="FX34" s="227"/>
      <c r="FY34" s="227"/>
      <c r="FZ34" s="227"/>
      <c r="GA34" s="227"/>
      <c r="GB34" s="227"/>
      <c r="GC34" s="227"/>
      <c r="GD34" s="227"/>
      <c r="GE34" s="227"/>
      <c r="GF34" s="227"/>
      <c r="GG34" s="227"/>
      <c r="GH34" s="227"/>
      <c r="GI34" s="227"/>
      <c r="GJ34" s="227"/>
      <c r="GK34" s="227"/>
      <c r="GL34" s="227"/>
      <c r="GM34" s="227"/>
      <c r="GN34" s="227"/>
      <c r="GO34" s="227"/>
      <c r="GP34" s="227"/>
      <c r="GQ34" s="227"/>
      <c r="GR34" s="227"/>
      <c r="GS34" s="227"/>
      <c r="GT34" s="227"/>
      <c r="GU34" s="227"/>
      <c r="GV34" s="227"/>
      <c r="GW34" s="227"/>
      <c r="GX34" s="227"/>
      <c r="GY34" s="227"/>
      <c r="GZ34" s="227"/>
      <c r="HA34" s="227"/>
      <c r="HB34" s="227"/>
      <c r="HC34" s="227"/>
      <c r="HD34" s="227"/>
      <c r="HE34" s="227"/>
      <c r="HF34" s="227"/>
      <c r="HG34" s="227"/>
      <c r="HH34" s="227"/>
      <c r="HI34" s="227"/>
      <c r="HJ34" s="227"/>
      <c r="HK34" s="227"/>
      <c r="HL34" s="227"/>
      <c r="HM34" s="227"/>
      <c r="HN34" s="227"/>
      <c r="HO34" s="227"/>
      <c r="HP34" s="227"/>
      <c r="HQ34" s="227"/>
      <c r="HR34" s="227"/>
      <c r="HS34" s="227"/>
      <c r="HT34" s="227"/>
      <c r="HU34" s="227"/>
      <c r="HV34" s="227"/>
      <c r="HW34" s="227"/>
      <c r="HX34" s="227"/>
      <c r="HY34" s="227"/>
      <c r="HZ34" s="227"/>
      <c r="IA34" s="227"/>
      <c r="IB34" s="227"/>
      <c r="IC34" s="227"/>
      <c r="ID34" s="227"/>
      <c r="IE34" s="227"/>
      <c r="IF34" s="227"/>
      <c r="IG34" s="227"/>
      <c r="IH34" s="227"/>
      <c r="II34" s="227"/>
      <c r="IJ34" s="227"/>
      <c r="IK34" s="227"/>
      <c r="IL34" s="227"/>
      <c r="IM34" s="227"/>
      <c r="IN34" s="227"/>
      <c r="IO34" s="227"/>
      <c r="IP34" s="227"/>
      <c r="IQ34" s="227"/>
      <c r="IR34" s="227"/>
      <c r="IS34" s="227"/>
      <c r="IT34" s="227"/>
      <c r="IU34" s="227"/>
      <c r="IV34" s="227"/>
    </row>
    <row r="35" spans="1:256" customFormat="1">
      <c r="A35" s="227"/>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7"/>
      <c r="BR35" s="227"/>
      <c r="BS35" s="227"/>
      <c r="BT35" s="227"/>
      <c r="BU35" s="227"/>
      <c r="BV35" s="227"/>
      <c r="BW35" s="227"/>
      <c r="BX35" s="227"/>
      <c r="BY35" s="227"/>
      <c r="BZ35" s="227"/>
      <c r="CA35" s="227"/>
      <c r="CB35" s="227"/>
      <c r="CC35" s="227"/>
      <c r="CD35" s="227"/>
      <c r="CE35" s="227"/>
      <c r="CF35" s="227"/>
      <c r="CG35" s="227"/>
      <c r="CH35" s="227"/>
      <c r="CI35" s="227"/>
      <c r="CJ35" s="227"/>
      <c r="CK35" s="227"/>
      <c r="CL35" s="227"/>
      <c r="CM35" s="227"/>
      <c r="CN35" s="227"/>
      <c r="CO35" s="227"/>
      <c r="CP35" s="227"/>
      <c r="CQ35" s="227"/>
      <c r="CR35" s="227"/>
      <c r="CS35" s="227"/>
      <c r="CT35" s="227"/>
      <c r="CU35" s="227"/>
      <c r="CV35" s="227"/>
      <c r="CW35" s="227"/>
      <c r="CX35" s="227"/>
      <c r="CY35" s="227"/>
      <c r="CZ35" s="227"/>
      <c r="DA35" s="227"/>
      <c r="DB35" s="227"/>
      <c r="DC35" s="227"/>
      <c r="DD35" s="227"/>
      <c r="DE35" s="227"/>
      <c r="DF35" s="227"/>
      <c r="DG35" s="227"/>
      <c r="DH35" s="227"/>
      <c r="DI35" s="227"/>
      <c r="DJ35" s="227"/>
      <c r="DK35" s="227"/>
      <c r="DL35" s="227"/>
      <c r="DM35" s="227"/>
      <c r="DN35" s="227"/>
      <c r="DO35" s="227"/>
      <c r="DP35" s="227"/>
      <c r="DQ35" s="227"/>
      <c r="DR35" s="227"/>
      <c r="DS35" s="227"/>
      <c r="DT35" s="227"/>
      <c r="DU35" s="227"/>
      <c r="DV35" s="227"/>
      <c r="DW35" s="227"/>
      <c r="DX35" s="227"/>
      <c r="DY35" s="227"/>
      <c r="DZ35" s="227"/>
      <c r="EA35" s="227"/>
      <c r="EB35" s="227"/>
      <c r="EC35" s="227"/>
      <c r="ED35" s="227"/>
      <c r="EE35" s="227"/>
      <c r="EF35" s="227"/>
      <c r="EG35" s="227"/>
      <c r="EH35" s="227"/>
      <c r="EI35" s="227"/>
      <c r="EJ35" s="227"/>
      <c r="EK35" s="227"/>
      <c r="EL35" s="227"/>
      <c r="EM35" s="227"/>
      <c r="EN35" s="227"/>
      <c r="EO35" s="227"/>
      <c r="EP35" s="227"/>
      <c r="EQ35" s="227"/>
      <c r="ER35" s="227"/>
      <c r="ES35" s="227"/>
      <c r="ET35" s="227"/>
      <c r="EU35" s="227"/>
      <c r="EV35" s="227"/>
      <c r="EW35" s="227"/>
      <c r="EX35" s="227"/>
      <c r="EY35" s="227"/>
      <c r="EZ35" s="227"/>
      <c r="FA35" s="227"/>
      <c r="FB35" s="227"/>
      <c r="FC35" s="227"/>
      <c r="FD35" s="227"/>
      <c r="FE35" s="227"/>
      <c r="FF35" s="227"/>
      <c r="FG35" s="227"/>
      <c r="FH35" s="227"/>
      <c r="FI35" s="227"/>
      <c r="FJ35" s="227"/>
      <c r="FK35" s="227"/>
      <c r="FL35" s="227"/>
      <c r="FM35" s="227"/>
      <c r="FN35" s="227"/>
      <c r="FO35" s="227"/>
      <c r="FP35" s="227"/>
      <c r="FQ35" s="227"/>
      <c r="FR35" s="227"/>
      <c r="FS35" s="227"/>
      <c r="FT35" s="227"/>
      <c r="FU35" s="227"/>
      <c r="FV35" s="227"/>
      <c r="FW35" s="227"/>
      <c r="FX35" s="227"/>
      <c r="FY35" s="227"/>
      <c r="FZ35" s="227"/>
      <c r="GA35" s="227"/>
      <c r="GB35" s="227"/>
      <c r="GC35" s="227"/>
      <c r="GD35" s="227"/>
      <c r="GE35" s="227"/>
      <c r="GF35" s="227"/>
      <c r="GG35" s="227"/>
      <c r="GH35" s="227"/>
      <c r="GI35" s="227"/>
      <c r="GJ35" s="227"/>
      <c r="GK35" s="227"/>
      <c r="GL35" s="227"/>
      <c r="GM35" s="227"/>
      <c r="GN35" s="227"/>
      <c r="GO35" s="227"/>
      <c r="GP35" s="227"/>
      <c r="GQ35" s="227"/>
      <c r="GR35" s="227"/>
      <c r="GS35" s="227"/>
      <c r="GT35" s="227"/>
      <c r="GU35" s="227"/>
      <c r="GV35" s="227"/>
      <c r="GW35" s="227"/>
      <c r="GX35" s="227"/>
      <c r="GY35" s="227"/>
      <c r="GZ35" s="227"/>
      <c r="HA35" s="227"/>
      <c r="HB35" s="227"/>
      <c r="HC35" s="227"/>
      <c r="HD35" s="227"/>
      <c r="HE35" s="227"/>
      <c r="HF35" s="227"/>
      <c r="HG35" s="227"/>
      <c r="HH35" s="227"/>
      <c r="HI35" s="227"/>
      <c r="HJ35" s="227"/>
      <c r="HK35" s="227"/>
      <c r="HL35" s="227"/>
      <c r="HM35" s="227"/>
      <c r="HN35" s="227"/>
      <c r="HO35" s="227"/>
      <c r="HP35" s="227"/>
      <c r="HQ35" s="227"/>
      <c r="HR35" s="227"/>
      <c r="HS35" s="227"/>
      <c r="HT35" s="227"/>
      <c r="HU35" s="227"/>
      <c r="HV35" s="227"/>
      <c r="HW35" s="227"/>
      <c r="HX35" s="227"/>
      <c r="HY35" s="227"/>
      <c r="HZ35" s="227"/>
      <c r="IA35" s="227"/>
      <c r="IB35" s="227"/>
      <c r="IC35" s="227"/>
      <c r="ID35" s="227"/>
      <c r="IE35" s="227"/>
      <c r="IF35" s="227"/>
      <c r="IG35" s="227"/>
      <c r="IH35" s="227"/>
      <c r="II35" s="227"/>
      <c r="IJ35" s="227"/>
      <c r="IK35" s="227"/>
      <c r="IL35" s="227"/>
      <c r="IM35" s="227"/>
      <c r="IN35" s="227"/>
      <c r="IO35" s="227"/>
      <c r="IP35" s="227"/>
      <c r="IQ35" s="227"/>
      <c r="IR35" s="227"/>
      <c r="IS35" s="227"/>
      <c r="IT35" s="227"/>
      <c r="IU35" s="227"/>
      <c r="IV35" s="227"/>
    </row>
    <row r="36" spans="1:256" customFormat="1">
      <c r="A36" s="227"/>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7"/>
      <c r="BR36" s="227"/>
      <c r="BS36" s="227"/>
      <c r="BT36" s="227"/>
      <c r="BU36" s="227"/>
      <c r="BV36" s="227"/>
      <c r="BW36" s="227"/>
      <c r="BX36" s="227"/>
      <c r="BY36" s="227"/>
      <c r="BZ36" s="227"/>
      <c r="CA36" s="227"/>
      <c r="CB36" s="227"/>
      <c r="CC36" s="227"/>
      <c r="CD36" s="227"/>
      <c r="CE36" s="227"/>
      <c r="CF36" s="227"/>
      <c r="CG36" s="227"/>
      <c r="CH36" s="227"/>
      <c r="CI36" s="227"/>
      <c r="CJ36" s="227"/>
      <c r="CK36" s="227"/>
      <c r="CL36" s="227"/>
      <c r="CM36" s="227"/>
      <c r="CN36" s="227"/>
      <c r="CO36" s="227"/>
      <c r="CP36" s="227"/>
      <c r="CQ36" s="227"/>
      <c r="CR36" s="227"/>
      <c r="CS36" s="227"/>
      <c r="CT36" s="227"/>
      <c r="CU36" s="227"/>
      <c r="CV36" s="227"/>
      <c r="CW36" s="227"/>
      <c r="CX36" s="227"/>
      <c r="CY36" s="227"/>
      <c r="CZ36" s="227"/>
      <c r="DA36" s="227"/>
      <c r="DB36" s="227"/>
      <c r="DC36" s="227"/>
      <c r="DD36" s="227"/>
      <c r="DE36" s="227"/>
      <c r="DF36" s="227"/>
      <c r="DG36" s="227"/>
      <c r="DH36" s="227"/>
      <c r="DI36" s="227"/>
      <c r="DJ36" s="227"/>
      <c r="DK36" s="227"/>
      <c r="DL36" s="227"/>
      <c r="DM36" s="227"/>
      <c r="DN36" s="227"/>
      <c r="DO36" s="227"/>
      <c r="DP36" s="227"/>
      <c r="DQ36" s="227"/>
      <c r="DR36" s="227"/>
      <c r="DS36" s="227"/>
      <c r="DT36" s="227"/>
      <c r="DU36" s="227"/>
      <c r="DV36" s="227"/>
      <c r="DW36" s="227"/>
      <c r="DX36" s="227"/>
      <c r="DY36" s="227"/>
      <c r="DZ36" s="227"/>
      <c r="EA36" s="227"/>
      <c r="EB36" s="227"/>
      <c r="EC36" s="227"/>
      <c r="ED36" s="227"/>
      <c r="EE36" s="227"/>
      <c r="EF36" s="227"/>
      <c r="EG36" s="227"/>
      <c r="EH36" s="227"/>
      <c r="EI36" s="227"/>
      <c r="EJ36" s="227"/>
      <c r="EK36" s="227"/>
      <c r="EL36" s="227"/>
      <c r="EM36" s="227"/>
      <c r="EN36" s="227"/>
      <c r="EO36" s="227"/>
      <c r="EP36" s="227"/>
      <c r="EQ36" s="227"/>
      <c r="ER36" s="227"/>
      <c r="ES36" s="227"/>
      <c r="ET36" s="227"/>
      <c r="EU36" s="227"/>
      <c r="EV36" s="227"/>
      <c r="EW36" s="227"/>
      <c r="EX36" s="227"/>
      <c r="EY36" s="227"/>
      <c r="EZ36" s="227"/>
      <c r="FA36" s="227"/>
      <c r="FB36" s="227"/>
      <c r="FC36" s="227"/>
      <c r="FD36" s="227"/>
      <c r="FE36" s="227"/>
      <c r="FF36" s="227"/>
      <c r="FG36" s="227"/>
      <c r="FH36" s="227"/>
      <c r="FI36" s="227"/>
      <c r="FJ36" s="227"/>
      <c r="FK36" s="227"/>
      <c r="FL36" s="227"/>
      <c r="FM36" s="227"/>
      <c r="FN36" s="227"/>
      <c r="FO36" s="227"/>
      <c r="FP36" s="227"/>
      <c r="FQ36" s="227"/>
      <c r="FR36" s="227"/>
      <c r="FS36" s="227"/>
      <c r="FT36" s="227"/>
      <c r="FU36" s="227"/>
      <c r="FV36" s="227"/>
      <c r="FW36" s="227"/>
      <c r="FX36" s="227"/>
      <c r="FY36" s="227"/>
      <c r="FZ36" s="227"/>
      <c r="GA36" s="227"/>
      <c r="GB36" s="227"/>
      <c r="GC36" s="227"/>
      <c r="GD36" s="227"/>
      <c r="GE36" s="227"/>
      <c r="GF36" s="227"/>
      <c r="GG36" s="227"/>
      <c r="GH36" s="227"/>
      <c r="GI36" s="227"/>
      <c r="GJ36" s="227"/>
      <c r="GK36" s="227"/>
      <c r="GL36" s="227"/>
      <c r="GM36" s="227"/>
      <c r="GN36" s="227"/>
      <c r="GO36" s="227"/>
      <c r="GP36" s="227"/>
      <c r="GQ36" s="227"/>
      <c r="GR36" s="227"/>
      <c r="GS36" s="227"/>
      <c r="GT36" s="227"/>
      <c r="GU36" s="227"/>
      <c r="GV36" s="227"/>
      <c r="GW36" s="227"/>
      <c r="GX36" s="227"/>
      <c r="GY36" s="227"/>
      <c r="GZ36" s="227"/>
      <c r="HA36" s="227"/>
      <c r="HB36" s="227"/>
      <c r="HC36" s="227"/>
      <c r="HD36" s="227"/>
      <c r="HE36" s="227"/>
      <c r="HF36" s="227"/>
      <c r="HG36" s="227"/>
      <c r="HH36" s="227"/>
      <c r="HI36" s="227"/>
      <c r="HJ36" s="227"/>
      <c r="HK36" s="227"/>
      <c r="HL36" s="227"/>
      <c r="HM36" s="227"/>
      <c r="HN36" s="227"/>
      <c r="HO36" s="227"/>
      <c r="HP36" s="227"/>
      <c r="HQ36" s="227"/>
      <c r="HR36" s="227"/>
      <c r="HS36" s="227"/>
      <c r="HT36" s="227"/>
      <c r="HU36" s="227"/>
      <c r="HV36" s="227"/>
      <c r="HW36" s="227"/>
      <c r="HX36" s="227"/>
      <c r="HY36" s="227"/>
      <c r="HZ36" s="227"/>
      <c r="IA36" s="227"/>
      <c r="IB36" s="227"/>
      <c r="IC36" s="227"/>
      <c r="ID36" s="227"/>
      <c r="IE36" s="227"/>
      <c r="IF36" s="227"/>
      <c r="IG36" s="227"/>
      <c r="IH36" s="227"/>
      <c r="II36" s="227"/>
      <c r="IJ36" s="227"/>
      <c r="IK36" s="227"/>
      <c r="IL36" s="227"/>
      <c r="IM36" s="227"/>
      <c r="IN36" s="227"/>
      <c r="IO36" s="227"/>
      <c r="IP36" s="227"/>
      <c r="IQ36" s="227"/>
      <c r="IR36" s="227"/>
      <c r="IS36" s="227"/>
      <c r="IT36" s="227"/>
      <c r="IU36" s="227"/>
      <c r="IV36" s="227"/>
    </row>
    <row r="37" spans="1:256" customFormat="1">
      <c r="A37" s="227"/>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7"/>
      <c r="BR37" s="227"/>
      <c r="BS37" s="227"/>
      <c r="BT37" s="227"/>
      <c r="BU37" s="227"/>
      <c r="BV37" s="227"/>
      <c r="BW37" s="227"/>
      <c r="BX37" s="227"/>
      <c r="BY37" s="227"/>
      <c r="BZ37" s="227"/>
      <c r="CA37" s="227"/>
      <c r="CB37" s="227"/>
      <c r="CC37" s="227"/>
      <c r="CD37" s="227"/>
      <c r="CE37" s="227"/>
      <c r="CF37" s="227"/>
      <c r="CG37" s="227"/>
      <c r="CH37" s="227"/>
      <c r="CI37" s="227"/>
      <c r="CJ37" s="227"/>
      <c r="CK37" s="227"/>
      <c r="CL37" s="227"/>
      <c r="CM37" s="227"/>
      <c r="CN37" s="227"/>
      <c r="CO37" s="227"/>
      <c r="CP37" s="227"/>
      <c r="CQ37" s="227"/>
      <c r="CR37" s="227"/>
      <c r="CS37" s="227"/>
      <c r="CT37" s="227"/>
      <c r="CU37" s="227"/>
      <c r="CV37" s="227"/>
      <c r="CW37" s="227"/>
      <c r="CX37" s="227"/>
      <c r="CY37" s="227"/>
      <c r="CZ37" s="227"/>
      <c r="DA37" s="227"/>
      <c r="DB37" s="227"/>
      <c r="DC37" s="227"/>
      <c r="DD37" s="227"/>
      <c r="DE37" s="227"/>
      <c r="DF37" s="227"/>
      <c r="DG37" s="227"/>
      <c r="DH37" s="227"/>
      <c r="DI37" s="227"/>
      <c r="DJ37" s="227"/>
      <c r="DK37" s="227"/>
      <c r="DL37" s="227"/>
      <c r="DM37" s="227"/>
      <c r="DN37" s="227"/>
      <c r="DO37" s="227"/>
      <c r="DP37" s="227"/>
      <c r="DQ37" s="227"/>
      <c r="DR37" s="227"/>
      <c r="DS37" s="227"/>
      <c r="DT37" s="227"/>
      <c r="DU37" s="227"/>
      <c r="DV37" s="227"/>
      <c r="DW37" s="227"/>
      <c r="DX37" s="227"/>
      <c r="DY37" s="227"/>
      <c r="DZ37" s="227"/>
      <c r="EA37" s="227"/>
      <c r="EB37" s="227"/>
      <c r="EC37" s="227"/>
      <c r="ED37" s="227"/>
      <c r="EE37" s="227"/>
      <c r="EF37" s="227"/>
      <c r="EG37" s="227"/>
      <c r="EH37" s="227"/>
      <c r="EI37" s="227"/>
      <c r="EJ37" s="227"/>
      <c r="EK37" s="227"/>
      <c r="EL37" s="227"/>
      <c r="EM37" s="227"/>
      <c r="EN37" s="227"/>
      <c r="EO37" s="227"/>
      <c r="EP37" s="227"/>
      <c r="EQ37" s="227"/>
      <c r="ER37" s="227"/>
      <c r="ES37" s="227"/>
      <c r="ET37" s="227"/>
      <c r="EU37" s="227"/>
      <c r="EV37" s="227"/>
      <c r="EW37" s="227"/>
      <c r="EX37" s="227"/>
      <c r="EY37" s="227"/>
      <c r="EZ37" s="227"/>
      <c r="FA37" s="227"/>
      <c r="FB37" s="227"/>
      <c r="FC37" s="227"/>
      <c r="FD37" s="227"/>
      <c r="FE37" s="227"/>
      <c r="FF37" s="227"/>
      <c r="FG37" s="227"/>
      <c r="FH37" s="227"/>
      <c r="FI37" s="227"/>
      <c r="FJ37" s="227"/>
      <c r="FK37" s="227"/>
      <c r="FL37" s="227"/>
      <c r="FM37" s="227"/>
      <c r="FN37" s="227"/>
      <c r="FO37" s="227"/>
      <c r="FP37" s="227"/>
      <c r="FQ37" s="227"/>
      <c r="FR37" s="227"/>
      <c r="FS37" s="227"/>
      <c r="FT37" s="227"/>
      <c r="FU37" s="227"/>
      <c r="FV37" s="227"/>
      <c r="FW37" s="227"/>
      <c r="FX37" s="227"/>
      <c r="FY37" s="227"/>
      <c r="FZ37" s="227"/>
      <c r="GA37" s="227"/>
      <c r="GB37" s="227"/>
      <c r="GC37" s="227"/>
      <c r="GD37" s="227"/>
      <c r="GE37" s="227"/>
      <c r="GF37" s="227"/>
      <c r="GG37" s="227"/>
      <c r="GH37" s="227"/>
      <c r="GI37" s="227"/>
      <c r="GJ37" s="227"/>
      <c r="GK37" s="227"/>
      <c r="GL37" s="227"/>
      <c r="GM37" s="227"/>
      <c r="GN37" s="227"/>
      <c r="GO37" s="227"/>
      <c r="GP37" s="227"/>
      <c r="GQ37" s="227"/>
      <c r="GR37" s="227"/>
      <c r="GS37" s="227"/>
      <c r="GT37" s="227"/>
      <c r="GU37" s="227"/>
      <c r="GV37" s="227"/>
      <c r="GW37" s="227"/>
      <c r="GX37" s="227"/>
      <c r="GY37" s="227"/>
      <c r="GZ37" s="227"/>
      <c r="HA37" s="227"/>
      <c r="HB37" s="227"/>
      <c r="HC37" s="227"/>
      <c r="HD37" s="227"/>
      <c r="HE37" s="227"/>
      <c r="HF37" s="227"/>
      <c r="HG37" s="227"/>
      <c r="HH37" s="227"/>
      <c r="HI37" s="227"/>
      <c r="HJ37" s="227"/>
      <c r="HK37" s="227"/>
      <c r="HL37" s="227"/>
      <c r="HM37" s="227"/>
      <c r="HN37" s="227"/>
      <c r="HO37" s="227"/>
      <c r="HP37" s="227"/>
      <c r="HQ37" s="227"/>
      <c r="HR37" s="227"/>
      <c r="HS37" s="227"/>
      <c r="HT37" s="227"/>
      <c r="HU37" s="227"/>
      <c r="HV37" s="227"/>
      <c r="HW37" s="227"/>
      <c r="HX37" s="227"/>
      <c r="HY37" s="227"/>
      <c r="HZ37" s="227"/>
      <c r="IA37" s="227"/>
      <c r="IB37" s="227"/>
      <c r="IC37" s="227"/>
      <c r="ID37" s="227"/>
      <c r="IE37" s="227"/>
      <c r="IF37" s="227"/>
      <c r="IG37" s="227"/>
      <c r="IH37" s="227"/>
      <c r="II37" s="227"/>
      <c r="IJ37" s="227"/>
      <c r="IK37" s="227"/>
      <c r="IL37" s="227"/>
      <c r="IM37" s="227"/>
      <c r="IN37" s="227"/>
      <c r="IO37" s="227"/>
      <c r="IP37" s="227"/>
      <c r="IQ37" s="227"/>
      <c r="IR37" s="227"/>
      <c r="IS37" s="227"/>
      <c r="IT37" s="227"/>
      <c r="IU37" s="227"/>
      <c r="IV37" s="227"/>
    </row>
    <row r="38" spans="1:256" customFormat="1">
      <c r="A38" s="227"/>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7"/>
      <c r="BR38" s="227"/>
      <c r="BS38" s="227"/>
      <c r="BT38" s="227"/>
      <c r="BU38" s="227"/>
      <c r="BV38" s="227"/>
      <c r="BW38" s="227"/>
      <c r="BX38" s="227"/>
      <c r="BY38" s="227"/>
      <c r="BZ38" s="227"/>
      <c r="CA38" s="227"/>
      <c r="CB38" s="227"/>
      <c r="CC38" s="227"/>
      <c r="CD38" s="227"/>
      <c r="CE38" s="227"/>
      <c r="CF38" s="227"/>
      <c r="CG38" s="227"/>
      <c r="CH38" s="227"/>
      <c r="CI38" s="227"/>
      <c r="CJ38" s="227"/>
      <c r="CK38" s="227"/>
      <c r="CL38" s="227"/>
      <c r="CM38" s="227"/>
      <c r="CN38" s="227"/>
      <c r="CO38" s="227"/>
      <c r="CP38" s="227"/>
      <c r="CQ38" s="227"/>
      <c r="CR38" s="227"/>
      <c r="CS38" s="227"/>
      <c r="CT38" s="227"/>
      <c r="CU38" s="227"/>
      <c r="CV38" s="227"/>
      <c r="CW38" s="227"/>
      <c r="CX38" s="227"/>
      <c r="CY38" s="227"/>
      <c r="CZ38" s="227"/>
      <c r="DA38" s="227"/>
      <c r="DB38" s="227"/>
      <c r="DC38" s="227"/>
      <c r="DD38" s="227"/>
      <c r="DE38" s="227"/>
      <c r="DF38" s="227"/>
      <c r="DG38" s="227"/>
      <c r="DH38" s="227"/>
      <c r="DI38" s="227"/>
      <c r="DJ38" s="227"/>
      <c r="DK38" s="227"/>
      <c r="DL38" s="227"/>
      <c r="DM38" s="227"/>
      <c r="DN38" s="227"/>
      <c r="DO38" s="227"/>
      <c r="DP38" s="227"/>
      <c r="DQ38" s="227"/>
      <c r="DR38" s="227"/>
      <c r="DS38" s="227"/>
      <c r="DT38" s="227"/>
      <c r="DU38" s="227"/>
      <c r="DV38" s="227"/>
      <c r="DW38" s="227"/>
      <c r="DX38" s="227"/>
      <c r="DY38" s="227"/>
      <c r="DZ38" s="227"/>
      <c r="EA38" s="227"/>
      <c r="EB38" s="227"/>
      <c r="EC38" s="227"/>
      <c r="ED38" s="227"/>
      <c r="EE38" s="227"/>
      <c r="EF38" s="227"/>
      <c r="EG38" s="227"/>
      <c r="EH38" s="227"/>
      <c r="EI38" s="227"/>
      <c r="EJ38" s="227"/>
      <c r="EK38" s="227"/>
      <c r="EL38" s="227"/>
      <c r="EM38" s="227"/>
      <c r="EN38" s="227"/>
      <c r="EO38" s="227"/>
      <c r="EP38" s="227"/>
      <c r="EQ38" s="227"/>
      <c r="ER38" s="227"/>
      <c r="ES38" s="227"/>
      <c r="ET38" s="227"/>
      <c r="EU38" s="227"/>
      <c r="EV38" s="227"/>
      <c r="EW38" s="227"/>
      <c r="EX38" s="227"/>
      <c r="EY38" s="227"/>
      <c r="EZ38" s="227"/>
      <c r="FA38" s="227"/>
      <c r="FB38" s="227"/>
      <c r="FC38" s="227"/>
      <c r="FD38" s="227"/>
      <c r="FE38" s="227"/>
      <c r="FF38" s="227"/>
      <c r="FG38" s="227"/>
      <c r="FH38" s="227"/>
      <c r="FI38" s="227"/>
      <c r="FJ38" s="227"/>
      <c r="FK38" s="227"/>
      <c r="FL38" s="227"/>
      <c r="FM38" s="227"/>
      <c r="FN38" s="227"/>
      <c r="FO38" s="227"/>
      <c r="FP38" s="227"/>
      <c r="FQ38" s="227"/>
      <c r="FR38" s="227"/>
      <c r="FS38" s="227"/>
      <c r="FT38" s="227"/>
      <c r="FU38" s="227"/>
      <c r="FV38" s="227"/>
      <c r="FW38" s="227"/>
      <c r="FX38" s="227"/>
      <c r="FY38" s="227"/>
      <c r="FZ38" s="227"/>
      <c r="GA38" s="227"/>
      <c r="GB38" s="227"/>
      <c r="GC38" s="227"/>
      <c r="GD38" s="227"/>
      <c r="GE38" s="227"/>
      <c r="GF38" s="227"/>
      <c r="GG38" s="227"/>
      <c r="GH38" s="227"/>
      <c r="GI38" s="227"/>
      <c r="GJ38" s="227"/>
      <c r="GK38" s="227"/>
      <c r="GL38" s="227"/>
      <c r="GM38" s="227"/>
      <c r="GN38" s="227"/>
      <c r="GO38" s="227"/>
      <c r="GP38" s="227"/>
      <c r="GQ38" s="227"/>
      <c r="GR38" s="227"/>
      <c r="GS38" s="227"/>
      <c r="GT38" s="227"/>
      <c r="GU38" s="227"/>
      <c r="GV38" s="227"/>
      <c r="GW38" s="227"/>
      <c r="GX38" s="227"/>
      <c r="GY38" s="227"/>
      <c r="GZ38" s="227"/>
      <c r="HA38" s="227"/>
      <c r="HB38" s="227"/>
      <c r="HC38" s="227"/>
      <c r="HD38" s="227"/>
      <c r="HE38" s="227"/>
      <c r="HF38" s="227"/>
      <c r="HG38" s="227"/>
      <c r="HH38" s="227"/>
      <c r="HI38" s="227"/>
      <c r="HJ38" s="227"/>
      <c r="HK38" s="227"/>
      <c r="HL38" s="227"/>
      <c r="HM38" s="227"/>
      <c r="HN38" s="227"/>
      <c r="HO38" s="227"/>
      <c r="HP38" s="227"/>
      <c r="HQ38" s="227"/>
      <c r="HR38" s="227"/>
      <c r="HS38" s="227"/>
      <c r="HT38" s="227"/>
      <c r="HU38" s="227"/>
      <c r="HV38" s="227"/>
      <c r="HW38" s="227"/>
      <c r="HX38" s="227"/>
      <c r="HY38" s="227"/>
      <c r="HZ38" s="227"/>
      <c r="IA38" s="227"/>
      <c r="IB38" s="227"/>
      <c r="IC38" s="227"/>
      <c r="ID38" s="227"/>
      <c r="IE38" s="227"/>
      <c r="IF38" s="227"/>
      <c r="IG38" s="227"/>
      <c r="IH38" s="227"/>
      <c r="II38" s="227"/>
      <c r="IJ38" s="227"/>
      <c r="IK38" s="227"/>
      <c r="IL38" s="227"/>
      <c r="IM38" s="227"/>
      <c r="IN38" s="227"/>
      <c r="IO38" s="227"/>
      <c r="IP38" s="227"/>
      <c r="IQ38" s="227"/>
      <c r="IR38" s="227"/>
      <c r="IS38" s="227"/>
      <c r="IT38" s="227"/>
      <c r="IU38" s="227"/>
      <c r="IV38" s="227"/>
    </row>
    <row r="39" spans="1:256" customFormat="1">
      <c r="A39" s="227"/>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7"/>
      <c r="BR39" s="227"/>
      <c r="BS39" s="227"/>
      <c r="BT39" s="227"/>
      <c r="BU39" s="227"/>
      <c r="BV39" s="227"/>
      <c r="BW39" s="227"/>
      <c r="BX39" s="227"/>
      <c r="BY39" s="227"/>
      <c r="BZ39" s="227"/>
      <c r="CA39" s="227"/>
      <c r="CB39" s="227"/>
      <c r="CC39" s="227"/>
      <c r="CD39" s="227"/>
      <c r="CE39" s="227"/>
      <c r="CF39" s="227"/>
      <c r="CG39" s="227"/>
      <c r="CH39" s="227"/>
      <c r="CI39" s="227"/>
      <c r="CJ39" s="227"/>
      <c r="CK39" s="227"/>
      <c r="CL39" s="227"/>
      <c r="CM39" s="227"/>
      <c r="CN39" s="227"/>
      <c r="CO39" s="227"/>
      <c r="CP39" s="227"/>
      <c r="CQ39" s="227"/>
      <c r="CR39" s="227"/>
      <c r="CS39" s="227"/>
      <c r="CT39" s="227"/>
      <c r="CU39" s="227"/>
      <c r="CV39" s="227"/>
      <c r="CW39" s="227"/>
      <c r="CX39" s="227"/>
      <c r="CY39" s="227"/>
      <c r="CZ39" s="227"/>
      <c r="DA39" s="227"/>
      <c r="DB39" s="227"/>
      <c r="DC39" s="227"/>
      <c r="DD39" s="227"/>
      <c r="DE39" s="227"/>
      <c r="DF39" s="227"/>
      <c r="DG39" s="227"/>
      <c r="DH39" s="227"/>
      <c r="DI39" s="227"/>
      <c r="DJ39" s="227"/>
      <c r="DK39" s="227"/>
      <c r="DL39" s="227"/>
      <c r="DM39" s="227"/>
      <c r="DN39" s="227"/>
      <c r="DO39" s="227"/>
      <c r="DP39" s="227"/>
      <c r="DQ39" s="227"/>
      <c r="DR39" s="227"/>
      <c r="DS39" s="227"/>
      <c r="DT39" s="227"/>
      <c r="DU39" s="227"/>
      <c r="DV39" s="227"/>
      <c r="DW39" s="227"/>
      <c r="DX39" s="227"/>
      <c r="DY39" s="227"/>
      <c r="DZ39" s="227"/>
      <c r="EA39" s="227"/>
      <c r="EB39" s="227"/>
      <c r="EC39" s="227"/>
      <c r="ED39" s="227"/>
      <c r="EE39" s="227"/>
      <c r="EF39" s="227"/>
      <c r="EG39" s="227"/>
      <c r="EH39" s="227"/>
      <c r="EI39" s="227"/>
      <c r="EJ39" s="227"/>
      <c r="EK39" s="227"/>
      <c r="EL39" s="227"/>
      <c r="EM39" s="227"/>
      <c r="EN39" s="227"/>
      <c r="EO39" s="227"/>
      <c r="EP39" s="227"/>
      <c r="EQ39" s="227"/>
      <c r="ER39" s="227"/>
      <c r="ES39" s="227"/>
      <c r="ET39" s="227"/>
      <c r="EU39" s="227"/>
      <c r="EV39" s="227"/>
      <c r="EW39" s="227"/>
      <c r="EX39" s="227"/>
      <c r="EY39" s="227"/>
      <c r="EZ39" s="227"/>
      <c r="FA39" s="227"/>
      <c r="FB39" s="227"/>
      <c r="FC39" s="227"/>
      <c r="FD39" s="227"/>
      <c r="FE39" s="227"/>
      <c r="FF39" s="227"/>
      <c r="FG39" s="227"/>
      <c r="FH39" s="227"/>
      <c r="FI39" s="227"/>
      <c r="FJ39" s="227"/>
      <c r="FK39" s="227"/>
      <c r="FL39" s="227"/>
      <c r="FM39" s="227"/>
      <c r="FN39" s="227"/>
      <c r="FO39" s="227"/>
      <c r="FP39" s="227"/>
      <c r="FQ39" s="227"/>
      <c r="FR39" s="227"/>
      <c r="FS39" s="227"/>
      <c r="FT39" s="227"/>
      <c r="FU39" s="227"/>
      <c r="FV39" s="227"/>
      <c r="FW39" s="227"/>
      <c r="FX39" s="227"/>
      <c r="FY39" s="227"/>
      <c r="FZ39" s="227"/>
      <c r="GA39" s="227"/>
      <c r="GB39" s="227"/>
      <c r="GC39" s="227"/>
      <c r="GD39" s="227"/>
      <c r="GE39" s="227"/>
      <c r="GF39" s="227"/>
      <c r="GG39" s="227"/>
      <c r="GH39" s="227"/>
      <c r="GI39" s="227"/>
      <c r="GJ39" s="227"/>
      <c r="GK39" s="227"/>
      <c r="GL39" s="227"/>
      <c r="GM39" s="227"/>
      <c r="GN39" s="227"/>
      <c r="GO39" s="227"/>
      <c r="GP39" s="227"/>
      <c r="GQ39" s="227"/>
      <c r="GR39" s="227"/>
      <c r="GS39" s="227"/>
      <c r="GT39" s="227"/>
      <c r="GU39" s="227"/>
      <c r="GV39" s="227"/>
      <c r="GW39" s="227"/>
      <c r="GX39" s="227"/>
      <c r="GY39" s="227"/>
      <c r="GZ39" s="227"/>
      <c r="HA39" s="227"/>
      <c r="HB39" s="227"/>
      <c r="HC39" s="227"/>
      <c r="HD39" s="227"/>
      <c r="HE39" s="227"/>
      <c r="HF39" s="227"/>
      <c r="HG39" s="227"/>
      <c r="HH39" s="227"/>
      <c r="HI39" s="227"/>
      <c r="HJ39" s="227"/>
      <c r="HK39" s="227"/>
      <c r="HL39" s="227"/>
      <c r="HM39" s="227"/>
      <c r="HN39" s="227"/>
      <c r="HO39" s="227"/>
      <c r="HP39" s="227"/>
      <c r="HQ39" s="227"/>
      <c r="HR39" s="227"/>
      <c r="HS39" s="227"/>
      <c r="HT39" s="227"/>
      <c r="HU39" s="227"/>
      <c r="HV39" s="227"/>
      <c r="HW39" s="227"/>
      <c r="HX39" s="227"/>
      <c r="HY39" s="227"/>
      <c r="HZ39" s="227"/>
      <c r="IA39" s="227"/>
      <c r="IB39" s="227"/>
      <c r="IC39" s="227"/>
      <c r="ID39" s="227"/>
      <c r="IE39" s="227"/>
      <c r="IF39" s="227"/>
      <c r="IG39" s="227"/>
      <c r="IH39" s="227"/>
      <c r="II39" s="227"/>
      <c r="IJ39" s="227"/>
      <c r="IK39" s="227"/>
      <c r="IL39" s="227"/>
      <c r="IM39" s="227"/>
      <c r="IN39" s="227"/>
      <c r="IO39" s="227"/>
      <c r="IP39" s="227"/>
      <c r="IQ39" s="227"/>
      <c r="IR39" s="227"/>
      <c r="IS39" s="227"/>
      <c r="IT39" s="227"/>
      <c r="IU39" s="227"/>
      <c r="IV39" s="227"/>
    </row>
    <row r="40" spans="1:256" customFormat="1">
      <c r="A40" s="485"/>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7"/>
      <c r="BR40" s="227"/>
      <c r="BS40" s="227"/>
      <c r="BT40" s="227"/>
      <c r="BU40" s="227"/>
      <c r="BV40" s="227"/>
      <c r="BW40" s="227"/>
      <c r="BX40" s="227"/>
      <c r="BY40" s="227"/>
      <c r="BZ40" s="227"/>
      <c r="CA40" s="227"/>
      <c r="CB40" s="227"/>
      <c r="CC40" s="227"/>
      <c r="CD40" s="227"/>
      <c r="CE40" s="227"/>
      <c r="CF40" s="227"/>
      <c r="CG40" s="227"/>
      <c r="CH40" s="227"/>
      <c r="CI40" s="227"/>
      <c r="CJ40" s="227"/>
      <c r="CK40" s="227"/>
      <c r="CL40" s="227"/>
      <c r="CM40" s="227"/>
      <c r="CN40" s="227"/>
      <c r="CO40" s="227"/>
      <c r="CP40" s="227"/>
      <c r="CQ40" s="227"/>
      <c r="CR40" s="227"/>
      <c r="CS40" s="227"/>
      <c r="CT40" s="227"/>
      <c r="CU40" s="227"/>
      <c r="CV40" s="227"/>
      <c r="CW40" s="227"/>
      <c r="CX40" s="227"/>
      <c r="CY40" s="227"/>
      <c r="CZ40" s="227"/>
      <c r="DA40" s="227"/>
      <c r="DB40" s="227"/>
      <c r="DC40" s="227"/>
      <c r="DD40" s="227"/>
      <c r="DE40" s="227"/>
      <c r="DF40" s="227"/>
      <c r="DG40" s="227"/>
      <c r="DH40" s="227"/>
      <c r="DI40" s="227"/>
      <c r="DJ40" s="227"/>
      <c r="DK40" s="227"/>
      <c r="DL40" s="227"/>
      <c r="DM40" s="227"/>
      <c r="DN40" s="227"/>
      <c r="DO40" s="227"/>
      <c r="DP40" s="227"/>
      <c r="DQ40" s="227"/>
      <c r="DR40" s="227"/>
      <c r="DS40" s="227"/>
      <c r="DT40" s="227"/>
      <c r="DU40" s="227"/>
      <c r="DV40" s="227"/>
      <c r="DW40" s="227"/>
      <c r="DX40" s="227"/>
      <c r="DY40" s="227"/>
      <c r="DZ40" s="227"/>
      <c r="EA40" s="227"/>
      <c r="EB40" s="227"/>
      <c r="EC40" s="227"/>
      <c r="ED40" s="227"/>
      <c r="EE40" s="227"/>
      <c r="EF40" s="227"/>
      <c r="EG40" s="227"/>
      <c r="EH40" s="227"/>
      <c r="EI40" s="227"/>
      <c r="EJ40" s="227"/>
      <c r="EK40" s="227"/>
      <c r="EL40" s="227"/>
      <c r="EM40" s="227"/>
      <c r="EN40" s="227"/>
      <c r="EO40" s="227"/>
      <c r="EP40" s="227"/>
      <c r="EQ40" s="227"/>
      <c r="ER40" s="227"/>
      <c r="ES40" s="227"/>
      <c r="ET40" s="227"/>
      <c r="EU40" s="227"/>
      <c r="EV40" s="227"/>
      <c r="EW40" s="227"/>
      <c r="EX40" s="227"/>
      <c r="EY40" s="227"/>
      <c r="EZ40" s="227"/>
      <c r="FA40" s="227"/>
      <c r="FB40" s="227"/>
      <c r="FC40" s="227"/>
      <c r="FD40" s="227"/>
      <c r="FE40" s="227"/>
      <c r="FF40" s="227"/>
      <c r="FG40" s="227"/>
      <c r="FH40" s="227"/>
      <c r="FI40" s="227"/>
      <c r="FJ40" s="227"/>
      <c r="FK40" s="227"/>
      <c r="FL40" s="227"/>
      <c r="FM40" s="227"/>
      <c r="FN40" s="227"/>
      <c r="FO40" s="227"/>
      <c r="FP40" s="227"/>
      <c r="FQ40" s="227"/>
      <c r="FR40" s="227"/>
      <c r="FS40" s="227"/>
      <c r="FT40" s="227"/>
      <c r="FU40" s="227"/>
      <c r="FV40" s="227"/>
      <c r="FW40" s="227"/>
      <c r="FX40" s="227"/>
      <c r="FY40" s="227"/>
      <c r="FZ40" s="227"/>
      <c r="GA40" s="227"/>
      <c r="GB40" s="227"/>
      <c r="GC40" s="227"/>
      <c r="GD40" s="227"/>
      <c r="GE40" s="227"/>
      <c r="GF40" s="227"/>
      <c r="GG40" s="227"/>
      <c r="GH40" s="227"/>
      <c r="GI40" s="227"/>
      <c r="GJ40" s="227"/>
      <c r="GK40" s="227"/>
      <c r="GL40" s="227"/>
      <c r="GM40" s="227"/>
      <c r="GN40" s="227"/>
      <c r="GO40" s="227"/>
      <c r="GP40" s="227"/>
      <c r="GQ40" s="227"/>
      <c r="GR40" s="227"/>
      <c r="GS40" s="227"/>
      <c r="GT40" s="227"/>
      <c r="GU40" s="227"/>
      <c r="GV40" s="227"/>
      <c r="GW40" s="227"/>
      <c r="GX40" s="227"/>
      <c r="GY40" s="227"/>
      <c r="GZ40" s="227"/>
      <c r="HA40" s="227"/>
      <c r="HB40" s="227"/>
      <c r="HC40" s="227"/>
      <c r="HD40" s="227"/>
      <c r="HE40" s="227"/>
      <c r="HF40" s="227"/>
      <c r="HG40" s="227"/>
      <c r="HH40" s="227"/>
      <c r="HI40" s="227"/>
      <c r="HJ40" s="227"/>
      <c r="HK40" s="227"/>
      <c r="HL40" s="227"/>
      <c r="HM40" s="227"/>
      <c r="HN40" s="227"/>
      <c r="HO40" s="227"/>
      <c r="HP40" s="227"/>
      <c r="HQ40" s="227"/>
      <c r="HR40" s="227"/>
      <c r="HS40" s="227"/>
      <c r="HT40" s="227"/>
      <c r="HU40" s="227"/>
      <c r="HV40" s="227"/>
      <c r="HW40" s="227"/>
      <c r="HX40" s="227"/>
      <c r="HY40" s="227"/>
      <c r="HZ40" s="227"/>
      <c r="IA40" s="227"/>
      <c r="IB40" s="227"/>
      <c r="IC40" s="227"/>
      <c r="ID40" s="227"/>
      <c r="IE40" s="227"/>
      <c r="IF40" s="227"/>
      <c r="IG40" s="227"/>
      <c r="IH40" s="227"/>
      <c r="II40" s="227"/>
      <c r="IJ40" s="227"/>
      <c r="IK40" s="227"/>
      <c r="IL40" s="227"/>
      <c r="IM40" s="227"/>
      <c r="IN40" s="227"/>
      <c r="IO40" s="227"/>
      <c r="IP40" s="227"/>
      <c r="IQ40" s="227"/>
      <c r="IR40" s="227"/>
      <c r="IS40" s="227"/>
      <c r="IT40" s="227"/>
      <c r="IU40" s="227"/>
      <c r="IV40" s="227"/>
    </row>
  </sheetData>
  <mergeCells count="2">
    <mergeCell ref="A1:D1"/>
    <mergeCell ref="A28:D28"/>
  </mergeCells>
  <phoneticPr fontId="2" type="noConversion"/>
  <printOptions horizontalCentered="1"/>
  <pageMargins left="0.78888888888888897" right="0.78888888888888897" top="0.97916666666666696" bottom="0.97916666666666696" header="0.2" footer="0.78888888888888897"/>
  <pageSetup paperSize="9" firstPageNumber="2" orientation="portrait" useFirstPageNumber="1"/>
  <headerFooter alignWithMargins="0">
    <oddFooter>&amp;C第 &amp;P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16"/>
  <sheetViews>
    <sheetView topLeftCell="B1" workbookViewId="0">
      <selection activeCell="F14" sqref="F14"/>
    </sheetView>
  </sheetViews>
  <sheetFormatPr defaultColWidth="8" defaultRowHeight="14.25" customHeight="1"/>
  <cols>
    <col min="1" max="1" width="25.5" style="48" customWidth="1"/>
    <col min="2" max="2" width="19.875" style="48" customWidth="1"/>
    <col min="3" max="3" width="19.75" style="48" customWidth="1"/>
    <col min="4" max="4" width="24" style="48" customWidth="1"/>
    <col min="5" max="6" width="18.625" style="48" customWidth="1"/>
    <col min="7" max="16384" width="8" style="48"/>
  </cols>
  <sheetData>
    <row r="1" spans="1:9" ht="4.5" customHeight="1">
      <c r="A1" s="49"/>
      <c r="B1" s="88"/>
      <c r="C1" s="88"/>
      <c r="D1" s="88"/>
      <c r="E1" s="88"/>
      <c r="F1" s="88"/>
    </row>
    <row r="2" spans="1:9" ht="33" customHeight="1">
      <c r="A2" s="580" t="s">
        <v>58</v>
      </c>
      <c r="B2" s="580"/>
      <c r="C2" s="580"/>
      <c r="D2" s="580"/>
      <c r="E2" s="580"/>
      <c r="F2" s="580"/>
    </row>
    <row r="3" spans="1:9" ht="15.75" customHeight="1">
      <c r="A3" s="128"/>
      <c r="B3" s="128"/>
      <c r="C3" s="128"/>
      <c r="D3" s="128"/>
      <c r="E3" s="128"/>
      <c r="F3" s="52"/>
    </row>
    <row r="4" spans="1:9" ht="15" customHeight="1">
      <c r="A4" s="53"/>
      <c r="B4" s="53"/>
      <c r="C4" s="53"/>
      <c r="D4" s="53"/>
      <c r="E4" s="54"/>
      <c r="F4" s="129" t="s">
        <v>210</v>
      </c>
    </row>
    <row r="5" spans="1:9" ht="26.25" customHeight="1">
      <c r="A5" s="130" t="s">
        <v>1014</v>
      </c>
      <c r="B5" s="130" t="s">
        <v>1015</v>
      </c>
      <c r="C5" s="130" t="s">
        <v>366</v>
      </c>
      <c r="D5" s="130" t="s">
        <v>1016</v>
      </c>
      <c r="E5" s="130" t="s">
        <v>1015</v>
      </c>
      <c r="F5" s="130" t="s">
        <v>366</v>
      </c>
    </row>
    <row r="6" spans="1:9" ht="26.25" customHeight="1">
      <c r="A6" s="57" t="s">
        <v>1017</v>
      </c>
      <c r="B6" s="131">
        <v>77724</v>
      </c>
      <c r="C6" s="131">
        <v>72000</v>
      </c>
      <c r="D6" s="132" t="s">
        <v>1018</v>
      </c>
      <c r="E6" s="133">
        <v>141383</v>
      </c>
      <c r="F6" s="134">
        <v>155159</v>
      </c>
    </row>
    <row r="7" spans="1:9" ht="26.25" customHeight="1">
      <c r="A7" s="57" t="s">
        <v>1019</v>
      </c>
      <c r="B7" s="131">
        <v>320</v>
      </c>
      <c r="C7" s="131">
        <v>300</v>
      </c>
      <c r="D7" s="132" t="s">
        <v>1020</v>
      </c>
      <c r="E7" s="135"/>
      <c r="F7" s="136"/>
      <c r="I7" s="143"/>
    </row>
    <row r="8" spans="1:9" ht="26.25" customHeight="1">
      <c r="A8" s="57" t="s">
        <v>1021</v>
      </c>
      <c r="B8" s="131">
        <v>54922</v>
      </c>
      <c r="C8" s="131">
        <v>69357</v>
      </c>
      <c r="D8" s="132" t="s">
        <v>1022</v>
      </c>
      <c r="E8" s="134">
        <v>5302</v>
      </c>
      <c r="F8" s="134">
        <v>6567</v>
      </c>
    </row>
    <row r="9" spans="1:9" ht="26.25" customHeight="1">
      <c r="A9" s="57" t="s">
        <v>1023</v>
      </c>
      <c r="B9" s="137"/>
      <c r="C9" s="137"/>
      <c r="D9" s="132" t="s">
        <v>1024</v>
      </c>
      <c r="E9" s="138"/>
      <c r="F9" s="138"/>
    </row>
    <row r="10" spans="1:9" ht="26.25" customHeight="1">
      <c r="A10" s="57" t="s">
        <v>1025</v>
      </c>
      <c r="B10" s="131">
        <v>16925</v>
      </c>
      <c r="C10" s="131">
        <v>16000</v>
      </c>
      <c r="D10" s="132" t="s">
        <v>1026</v>
      </c>
      <c r="E10" s="138"/>
      <c r="F10" s="138"/>
    </row>
    <row r="11" spans="1:9" ht="26.25" customHeight="1">
      <c r="A11" s="57" t="s">
        <v>1027</v>
      </c>
      <c r="B11" s="137"/>
      <c r="C11" s="137"/>
      <c r="D11" s="132" t="s">
        <v>1028</v>
      </c>
      <c r="E11" s="138"/>
      <c r="F11" s="138"/>
    </row>
    <row r="12" spans="1:9" ht="26.25" customHeight="1">
      <c r="A12" s="57" t="s">
        <v>1029</v>
      </c>
      <c r="B12" s="131">
        <v>443</v>
      </c>
      <c r="C12" s="131">
        <v>400</v>
      </c>
      <c r="D12" s="132" t="s">
        <v>912</v>
      </c>
      <c r="E12" s="133"/>
      <c r="F12" s="134"/>
    </row>
    <row r="13" spans="1:9" ht="26.25" customHeight="1">
      <c r="A13" s="57" t="s">
        <v>1030</v>
      </c>
      <c r="B13" s="132">
        <f t="shared" ref="B13:C13" si="0">SUM(B6:B12)</f>
        <v>150334</v>
      </c>
      <c r="C13" s="132">
        <f t="shared" si="0"/>
        <v>158057</v>
      </c>
      <c r="D13" s="132" t="s">
        <v>1031</v>
      </c>
      <c r="E13" s="139">
        <f>SUM(E6:E12)</f>
        <v>146685</v>
      </c>
      <c r="F13" s="139">
        <f>SUM(F6:F12)</f>
        <v>161726</v>
      </c>
    </row>
    <row r="14" spans="1:9" ht="26.25" customHeight="1">
      <c r="A14" s="63" t="s">
        <v>1032</v>
      </c>
      <c r="B14" s="132"/>
      <c r="C14" s="132"/>
      <c r="D14" s="132" t="s">
        <v>1033</v>
      </c>
      <c r="E14" s="139">
        <f>B13-E13</f>
        <v>3649</v>
      </c>
      <c r="F14" s="140">
        <f>C13-F13</f>
        <v>-3669</v>
      </c>
    </row>
    <row r="15" spans="1:9" ht="26.25" customHeight="1">
      <c r="A15" s="57" t="s">
        <v>1034</v>
      </c>
      <c r="B15" s="131">
        <v>3439</v>
      </c>
      <c r="C15" s="141">
        <f>E15</f>
        <v>7088</v>
      </c>
      <c r="D15" s="132" t="s">
        <v>1035</v>
      </c>
      <c r="E15" s="139">
        <f>E14+B15</f>
        <v>7088</v>
      </c>
      <c r="F15" s="139">
        <f>F14+C15</f>
        <v>3419</v>
      </c>
    </row>
    <row r="16" spans="1:9" ht="26.25" customHeight="1">
      <c r="A16" s="63" t="s">
        <v>1036</v>
      </c>
      <c r="B16" s="132">
        <v>153773</v>
      </c>
      <c r="C16" s="142">
        <f t="shared" ref="C16" si="1">C13+C15</f>
        <v>165145</v>
      </c>
      <c r="D16" s="132" t="s">
        <v>1036</v>
      </c>
      <c r="E16" s="139">
        <f>E13+E15</f>
        <v>153773</v>
      </c>
      <c r="F16" s="139">
        <f>F13+F15</f>
        <v>165145</v>
      </c>
    </row>
  </sheetData>
  <mergeCells count="1">
    <mergeCell ref="A2:F2"/>
  </mergeCells>
  <phoneticPr fontId="2" type="noConversion"/>
  <pageMargins left="0.74791666666666701" right="0.74791666666666701" top="0.98402777777777795" bottom="0.98402777777777795" header="0.51180555555555596" footer="0.51180555555555596"/>
  <pageSetup paperSize="9" orientation="landscape" errors="blank"/>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F19"/>
  <sheetViews>
    <sheetView workbookViewId="0">
      <selection activeCell="E20" sqref="E20:E21"/>
    </sheetView>
  </sheetViews>
  <sheetFormatPr defaultColWidth="8" defaultRowHeight="14.25" customHeight="1"/>
  <cols>
    <col min="1" max="1" width="26.125" style="48" customWidth="1"/>
    <col min="2" max="6" width="19.875" style="48" customWidth="1"/>
    <col min="7" max="16384" width="8" style="48"/>
  </cols>
  <sheetData>
    <row r="1" spans="1:6" ht="6" customHeight="1">
      <c r="A1" s="49"/>
      <c r="B1" s="88"/>
      <c r="C1" s="88"/>
      <c r="D1" s="88"/>
      <c r="E1" s="88"/>
      <c r="F1" s="88"/>
    </row>
    <row r="2" spans="1:6" ht="44.25" customHeight="1">
      <c r="A2" s="581" t="s">
        <v>60</v>
      </c>
      <c r="B2" s="581"/>
      <c r="C2" s="581"/>
      <c r="D2" s="581"/>
      <c r="E2" s="581"/>
      <c r="F2" s="581"/>
    </row>
    <row r="3" spans="1:6" ht="15" customHeight="1">
      <c r="A3" s="107"/>
      <c r="B3" s="107"/>
      <c r="C3" s="107"/>
      <c r="D3" s="107"/>
      <c r="E3" s="107"/>
      <c r="F3" s="108"/>
    </row>
    <row r="4" spans="1:6" ht="12.75" customHeight="1">
      <c r="A4" s="109"/>
      <c r="B4" s="109"/>
      <c r="C4" s="109"/>
      <c r="D4" s="109"/>
      <c r="E4" s="110"/>
      <c r="F4" s="111" t="s">
        <v>210</v>
      </c>
    </row>
    <row r="5" spans="1:6" ht="26.25" customHeight="1">
      <c r="A5" s="112" t="s">
        <v>1014</v>
      </c>
      <c r="B5" s="112" t="s">
        <v>1015</v>
      </c>
      <c r="C5" s="112" t="s">
        <v>366</v>
      </c>
      <c r="D5" s="112" t="s">
        <v>1016</v>
      </c>
      <c r="E5" s="112" t="s">
        <v>1015</v>
      </c>
      <c r="F5" s="112" t="s">
        <v>366</v>
      </c>
    </row>
    <row r="6" spans="1:6" ht="24" customHeight="1">
      <c r="A6" s="113" t="s">
        <v>1017</v>
      </c>
      <c r="B6" s="114">
        <v>34293</v>
      </c>
      <c r="C6" s="114">
        <v>24312</v>
      </c>
      <c r="D6" s="115" t="s">
        <v>1018</v>
      </c>
      <c r="E6" s="114">
        <v>45029</v>
      </c>
      <c r="F6" s="114">
        <v>43617</v>
      </c>
    </row>
    <row r="7" spans="1:6" ht="24" customHeight="1">
      <c r="A7" s="113" t="s">
        <v>1019</v>
      </c>
      <c r="B7" s="114">
        <v>107</v>
      </c>
      <c r="C7" s="114">
        <v>100</v>
      </c>
      <c r="D7" s="115" t="s">
        <v>1037</v>
      </c>
      <c r="E7" s="114"/>
      <c r="F7" s="114">
        <v>100</v>
      </c>
    </row>
    <row r="8" spans="1:6" ht="24" customHeight="1">
      <c r="A8" s="113" t="s">
        <v>1021</v>
      </c>
      <c r="B8" s="116">
        <v>15345</v>
      </c>
      <c r="C8" s="114">
        <v>16300</v>
      </c>
      <c r="D8" s="117" t="s">
        <v>1032</v>
      </c>
      <c r="E8" s="118"/>
      <c r="F8" s="118"/>
    </row>
    <row r="9" spans="1:6" ht="24" customHeight="1">
      <c r="A9" s="113" t="s">
        <v>1023</v>
      </c>
      <c r="B9" s="114">
        <v>170</v>
      </c>
      <c r="C9" s="114">
        <v>126</v>
      </c>
      <c r="D9" s="117" t="s">
        <v>1032</v>
      </c>
      <c r="E9" s="118"/>
      <c r="F9" s="118"/>
    </row>
    <row r="10" spans="1:6" ht="24" customHeight="1">
      <c r="A10" s="113" t="s">
        <v>1025</v>
      </c>
      <c r="B10" s="114"/>
      <c r="C10" s="114"/>
      <c r="D10" s="115" t="s">
        <v>1038</v>
      </c>
      <c r="E10" s="118"/>
      <c r="F10" s="118"/>
    </row>
    <row r="11" spans="1:6" ht="24" customHeight="1">
      <c r="A11" s="113" t="s">
        <v>1027</v>
      </c>
      <c r="B11" s="118"/>
      <c r="C11" s="118"/>
      <c r="D11" s="115" t="s">
        <v>1039</v>
      </c>
      <c r="E11" s="118"/>
      <c r="F11" s="118"/>
    </row>
    <row r="12" spans="1:6" ht="24" customHeight="1">
      <c r="A12" s="113" t="s">
        <v>1029</v>
      </c>
      <c r="B12" s="118"/>
      <c r="C12" s="118"/>
      <c r="D12" s="115" t="s">
        <v>1040</v>
      </c>
      <c r="E12" s="118"/>
      <c r="F12" s="118"/>
    </row>
    <row r="13" spans="1:6" ht="24" customHeight="1">
      <c r="A13" s="113" t="s">
        <v>1030</v>
      </c>
      <c r="B13" s="118">
        <f t="shared" ref="B13:C13" si="0">SUM(B6:B12)</f>
        <v>49915</v>
      </c>
      <c r="C13" s="118">
        <f t="shared" si="0"/>
        <v>40838</v>
      </c>
      <c r="D13" s="115" t="s">
        <v>1041</v>
      </c>
      <c r="E13" s="118">
        <f>SUM(E6:E12)</f>
        <v>45029</v>
      </c>
      <c r="F13" s="118">
        <f>SUM(F6:F12)</f>
        <v>43717</v>
      </c>
    </row>
    <row r="14" spans="1:6" ht="24" customHeight="1">
      <c r="A14" s="119" t="s">
        <v>1032</v>
      </c>
      <c r="B14" s="118"/>
      <c r="C14" s="118"/>
      <c r="D14" s="115" t="s">
        <v>1042</v>
      </c>
      <c r="E14" s="118">
        <f>B13-E13</f>
        <v>4886</v>
      </c>
      <c r="F14" s="118">
        <f>C13-F13</f>
        <v>-2879</v>
      </c>
    </row>
    <row r="15" spans="1:6" ht="24" customHeight="1">
      <c r="A15" s="120" t="s">
        <v>1034</v>
      </c>
      <c r="B15" s="121">
        <v>9584</v>
      </c>
      <c r="C15" s="122">
        <f>E15</f>
        <v>14470</v>
      </c>
      <c r="D15" s="123" t="s">
        <v>1043</v>
      </c>
      <c r="E15" s="124">
        <f>B15+E14</f>
        <v>14470</v>
      </c>
      <c r="F15" s="124">
        <f>C15+F14</f>
        <v>11591</v>
      </c>
    </row>
    <row r="16" spans="1:6" ht="26.25" customHeight="1">
      <c r="A16" s="125" t="s">
        <v>1036</v>
      </c>
      <c r="B16" s="118">
        <f t="shared" ref="B16:C16" si="1">B13+B15</f>
        <v>59499</v>
      </c>
      <c r="C16" s="118">
        <f t="shared" si="1"/>
        <v>55308</v>
      </c>
      <c r="D16" s="126" t="s">
        <v>1036</v>
      </c>
      <c r="E16" s="127">
        <f>E13+E15</f>
        <v>59499</v>
      </c>
      <c r="F16" s="127">
        <f>F13+F15</f>
        <v>55308</v>
      </c>
    </row>
    <row r="17" spans="1:6" ht="30" customHeight="1">
      <c r="A17" s="582"/>
      <c r="B17" s="582"/>
      <c r="C17" s="582"/>
      <c r="D17" s="582"/>
      <c r="E17" s="582"/>
      <c r="F17" s="582"/>
    </row>
    <row r="18" spans="1:6" ht="27.75" customHeight="1">
      <c r="A18" s="583"/>
      <c r="B18" s="583"/>
      <c r="C18" s="583"/>
      <c r="D18" s="583"/>
      <c r="E18" s="583"/>
      <c r="F18" s="583"/>
    </row>
    <row r="19" spans="1:6" ht="18" customHeight="1">
      <c r="A19" s="584"/>
      <c r="B19" s="584"/>
      <c r="C19" s="584"/>
      <c r="D19" s="584"/>
      <c r="E19" s="584"/>
      <c r="F19" s="584"/>
    </row>
  </sheetData>
  <mergeCells count="4">
    <mergeCell ref="A2:F2"/>
    <mergeCell ref="A17:F17"/>
    <mergeCell ref="A18:F18"/>
    <mergeCell ref="A19:F19"/>
  </mergeCells>
  <phoneticPr fontId="2" type="noConversion"/>
  <pageMargins left="0.75" right="0.75" top="0.66944444444444495" bottom="1" header="0.5" footer="0.5"/>
  <pageSetup paperSize="9" orientation="landscape"/>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F19"/>
  <sheetViews>
    <sheetView workbookViewId="0">
      <selection activeCell="C25" sqref="C25"/>
    </sheetView>
  </sheetViews>
  <sheetFormatPr defaultColWidth="8" defaultRowHeight="14.25" customHeight="1"/>
  <cols>
    <col min="1" max="1" width="28.5" style="48" customWidth="1"/>
    <col min="2" max="3" width="19.5" style="48" customWidth="1"/>
    <col min="4" max="4" width="20.625" style="48" customWidth="1"/>
    <col min="5" max="6" width="19.5" style="48" customWidth="1"/>
    <col min="7" max="16384" width="8" style="48"/>
  </cols>
  <sheetData>
    <row r="1" spans="1:6" ht="5.25" customHeight="1">
      <c r="A1" s="49"/>
      <c r="B1" s="88"/>
      <c r="C1" s="88"/>
      <c r="D1" s="88"/>
      <c r="E1" s="88"/>
      <c r="F1" s="88"/>
    </row>
    <row r="2" spans="1:6" ht="39.75" customHeight="1">
      <c r="A2" s="585" t="s">
        <v>62</v>
      </c>
      <c r="B2" s="585"/>
      <c r="C2" s="585"/>
      <c r="D2" s="585"/>
      <c r="E2" s="585"/>
      <c r="F2" s="585"/>
    </row>
    <row r="3" spans="1:6" ht="15" customHeight="1">
      <c r="A3" s="89"/>
      <c r="B3" s="89"/>
      <c r="C3" s="89"/>
      <c r="D3" s="89"/>
      <c r="E3" s="89"/>
      <c r="F3" s="90"/>
    </row>
    <row r="4" spans="1:6" ht="15" customHeight="1">
      <c r="A4" s="91"/>
      <c r="B4" s="91"/>
      <c r="C4" s="91"/>
      <c r="D4" s="91"/>
      <c r="E4" s="92"/>
      <c r="F4" s="93" t="s">
        <v>210</v>
      </c>
    </row>
    <row r="5" spans="1:6" ht="19.5" customHeight="1">
      <c r="A5" s="94" t="s">
        <v>247</v>
      </c>
      <c r="B5" s="94" t="s">
        <v>1044</v>
      </c>
      <c r="C5" s="94" t="s">
        <v>1045</v>
      </c>
      <c r="D5" s="94" t="s">
        <v>1046</v>
      </c>
      <c r="E5" s="94" t="s">
        <v>1044</v>
      </c>
      <c r="F5" s="94" t="s">
        <v>1045</v>
      </c>
    </row>
    <row r="6" spans="1:6" ht="23.25" customHeight="1">
      <c r="A6" s="95" t="s">
        <v>1047</v>
      </c>
      <c r="B6" s="96">
        <v>1386</v>
      </c>
      <c r="C6" s="96">
        <v>1438</v>
      </c>
      <c r="D6" s="97" t="s">
        <v>1048</v>
      </c>
      <c r="E6" s="96">
        <v>1155</v>
      </c>
      <c r="F6" s="96">
        <v>1066</v>
      </c>
    </row>
    <row r="7" spans="1:6" ht="23.25" customHeight="1">
      <c r="A7" s="95" t="s">
        <v>1019</v>
      </c>
      <c r="B7" s="96">
        <v>63</v>
      </c>
      <c r="C7" s="96">
        <v>73</v>
      </c>
      <c r="D7" s="97" t="s">
        <v>1020</v>
      </c>
      <c r="E7" s="96">
        <v>213</v>
      </c>
      <c r="F7" s="96">
        <v>207</v>
      </c>
    </row>
    <row r="8" spans="1:6" ht="23.25" customHeight="1">
      <c r="A8" s="95" t="s">
        <v>1021</v>
      </c>
      <c r="B8" s="96"/>
      <c r="C8" s="96"/>
      <c r="D8" s="97" t="s">
        <v>1022</v>
      </c>
      <c r="E8" s="96"/>
      <c r="F8" s="96"/>
    </row>
    <row r="9" spans="1:6" ht="23.25" customHeight="1">
      <c r="A9" s="98" t="s">
        <v>1032</v>
      </c>
      <c r="B9" s="99"/>
      <c r="C9" s="99"/>
      <c r="D9" s="97" t="s">
        <v>1049</v>
      </c>
      <c r="E9" s="96"/>
      <c r="F9" s="96"/>
    </row>
    <row r="10" spans="1:6" ht="23.25" customHeight="1">
      <c r="A10" s="100" t="s">
        <v>1032</v>
      </c>
      <c r="B10" s="101"/>
      <c r="C10" s="101"/>
      <c r="D10" s="97" t="s">
        <v>1050</v>
      </c>
      <c r="E10" s="96"/>
      <c r="F10" s="96"/>
    </row>
    <row r="11" spans="1:6" ht="23.25" customHeight="1">
      <c r="A11" s="102" t="s">
        <v>1032</v>
      </c>
      <c r="B11" s="96"/>
      <c r="C11" s="96"/>
      <c r="D11" s="97" t="s">
        <v>1051</v>
      </c>
      <c r="E11" s="96">
        <v>89</v>
      </c>
      <c r="F11" s="96">
        <v>154</v>
      </c>
    </row>
    <row r="12" spans="1:6" ht="23.25" customHeight="1">
      <c r="A12" s="95" t="s">
        <v>1023</v>
      </c>
      <c r="B12" s="96"/>
      <c r="C12" s="96"/>
      <c r="D12" s="97" t="s">
        <v>1052</v>
      </c>
      <c r="E12" s="96"/>
      <c r="F12" s="96"/>
    </row>
    <row r="13" spans="1:6" ht="23.25" customHeight="1">
      <c r="A13" s="95" t="s">
        <v>1025</v>
      </c>
      <c r="B13" s="96"/>
      <c r="C13" s="96"/>
      <c r="D13" s="103" t="s">
        <v>1053</v>
      </c>
      <c r="E13" s="96"/>
      <c r="F13" s="96"/>
    </row>
    <row r="14" spans="1:6" ht="23.25" customHeight="1">
      <c r="A14" s="95" t="s">
        <v>1027</v>
      </c>
      <c r="B14" s="96">
        <v>154</v>
      </c>
      <c r="C14" s="96">
        <v>178</v>
      </c>
      <c r="D14" s="103" t="s">
        <v>1054</v>
      </c>
      <c r="E14" s="104">
        <v>231</v>
      </c>
      <c r="F14" s="104">
        <v>248</v>
      </c>
    </row>
    <row r="15" spans="1:6" ht="23.25" customHeight="1">
      <c r="A15" s="95" t="s">
        <v>1029</v>
      </c>
      <c r="B15" s="96">
        <v>2</v>
      </c>
      <c r="C15" s="96">
        <v>2</v>
      </c>
      <c r="D15" s="97" t="s">
        <v>1055</v>
      </c>
      <c r="E15" s="96"/>
      <c r="F15" s="96"/>
    </row>
    <row r="16" spans="1:6" ht="23.25" customHeight="1">
      <c r="A16" s="95" t="s">
        <v>1030</v>
      </c>
      <c r="B16" s="96">
        <f t="shared" ref="B16:C16" si="0">SUM(B6:B15)</f>
        <v>1605</v>
      </c>
      <c r="C16" s="96">
        <f t="shared" si="0"/>
        <v>1691</v>
      </c>
      <c r="D16" s="103" t="s">
        <v>1056</v>
      </c>
      <c r="E16" s="104">
        <f>SUM(E6:E15)</f>
        <v>1688</v>
      </c>
      <c r="F16" s="104">
        <f>SUM(F6:F15)</f>
        <v>1675</v>
      </c>
    </row>
    <row r="17" spans="1:6" ht="23.25" customHeight="1">
      <c r="A17" s="102" t="s">
        <v>1032</v>
      </c>
      <c r="B17" s="96"/>
      <c r="C17" s="96"/>
      <c r="D17" s="103" t="s">
        <v>1057</v>
      </c>
      <c r="E17" s="105">
        <f>B16-E16</f>
        <v>-83</v>
      </c>
      <c r="F17" s="105">
        <f>C16-F16</f>
        <v>16</v>
      </c>
    </row>
    <row r="18" spans="1:6" ht="23.25" customHeight="1">
      <c r="A18" s="95" t="s">
        <v>1034</v>
      </c>
      <c r="B18" s="96">
        <v>4616</v>
      </c>
      <c r="C18" s="96">
        <f>E18</f>
        <v>4533</v>
      </c>
      <c r="D18" s="103" t="s">
        <v>1058</v>
      </c>
      <c r="E18" s="104">
        <f>E17+B18</f>
        <v>4533</v>
      </c>
      <c r="F18" s="104">
        <f>F17+C18</f>
        <v>4549</v>
      </c>
    </row>
    <row r="19" spans="1:6" ht="20.25" customHeight="1">
      <c r="A19" s="102" t="s">
        <v>1036</v>
      </c>
      <c r="B19" s="96">
        <f t="shared" ref="B19:C19" si="1">B16+B18</f>
        <v>6221</v>
      </c>
      <c r="C19" s="96">
        <f t="shared" si="1"/>
        <v>6224</v>
      </c>
      <c r="D19" s="106" t="s">
        <v>1036</v>
      </c>
      <c r="E19" s="96">
        <f>E16+E18</f>
        <v>6221</v>
      </c>
      <c r="F19" s="96">
        <f>F16+F18</f>
        <v>6224</v>
      </c>
    </row>
  </sheetData>
  <mergeCells count="1">
    <mergeCell ref="A2:F2"/>
  </mergeCells>
  <phoneticPr fontId="2" type="noConversion"/>
  <pageMargins left="0.74791666666666701" right="0.74791666666666701" top="0.98402777777777795" bottom="0.98402777777777795" header="0.51180555555555596" footer="0.51180555555555596"/>
  <pageSetup paperSize="9" orientation="landscape" errors="blank"/>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O23"/>
  <sheetViews>
    <sheetView workbookViewId="0">
      <selection activeCell="C25" sqref="C25"/>
    </sheetView>
  </sheetViews>
  <sheetFormatPr defaultColWidth="8" defaultRowHeight="14.25" customHeight="1"/>
  <cols>
    <col min="1" max="1" width="17.375" style="48" customWidth="1"/>
    <col min="2" max="7" width="7.625" style="48" customWidth="1"/>
    <col min="8" max="8" width="16" style="48" customWidth="1"/>
    <col min="9" max="14" width="7.625" style="48" customWidth="1"/>
    <col min="15" max="16384" width="8" style="48"/>
  </cols>
  <sheetData>
    <row r="1" spans="1:15" ht="20.25" customHeight="1">
      <c r="A1" s="591" t="s">
        <v>64</v>
      </c>
      <c r="B1" s="591"/>
      <c r="C1" s="591"/>
      <c r="D1" s="591"/>
      <c r="E1" s="591"/>
      <c r="F1" s="591"/>
      <c r="G1" s="591"/>
      <c r="H1" s="591"/>
      <c r="I1" s="591"/>
      <c r="J1" s="591"/>
      <c r="K1" s="591"/>
      <c r="L1" s="591"/>
      <c r="M1" s="591"/>
      <c r="N1" s="591"/>
    </row>
    <row r="2" spans="1:15" ht="13.5" customHeight="1">
      <c r="A2" s="69"/>
      <c r="B2" s="69"/>
      <c r="C2" s="69"/>
      <c r="D2" s="69"/>
      <c r="E2" s="69"/>
      <c r="F2" s="69"/>
      <c r="G2" s="69"/>
      <c r="H2" s="69"/>
      <c r="I2" s="69"/>
      <c r="J2" s="69"/>
      <c r="K2" s="69"/>
      <c r="L2" s="69"/>
      <c r="M2" s="69"/>
      <c r="N2" s="84"/>
    </row>
    <row r="3" spans="1:15" ht="14.25" customHeight="1">
      <c r="A3" s="70"/>
      <c r="B3" s="70"/>
      <c r="C3" s="70"/>
      <c r="D3" s="70"/>
      <c r="E3" s="71"/>
      <c r="F3" s="71"/>
      <c r="G3" s="71"/>
      <c r="H3" s="71"/>
      <c r="I3" s="71"/>
      <c r="J3" s="71"/>
      <c r="K3" s="85"/>
      <c r="L3" s="86"/>
      <c r="M3" s="87"/>
      <c r="N3" s="87" t="s">
        <v>210</v>
      </c>
    </row>
    <row r="4" spans="1:15" ht="27.75" customHeight="1">
      <c r="A4" s="587" t="s">
        <v>1059</v>
      </c>
      <c r="B4" s="592" t="s">
        <v>1015</v>
      </c>
      <c r="C4" s="593"/>
      <c r="D4" s="593"/>
      <c r="E4" s="594" t="s">
        <v>366</v>
      </c>
      <c r="F4" s="594"/>
      <c r="G4" s="594"/>
      <c r="H4" s="589" t="s">
        <v>854</v>
      </c>
      <c r="I4" s="594" t="s">
        <v>1015</v>
      </c>
      <c r="J4" s="594"/>
      <c r="K4" s="594"/>
      <c r="L4" s="595" t="s">
        <v>366</v>
      </c>
      <c r="M4" s="593"/>
      <c r="N4" s="596"/>
    </row>
    <row r="5" spans="1:15" ht="54.75" customHeight="1">
      <c r="A5" s="588"/>
      <c r="B5" s="72" t="s">
        <v>1001</v>
      </c>
      <c r="C5" s="73" t="s">
        <v>1060</v>
      </c>
      <c r="D5" s="73" t="s">
        <v>1061</v>
      </c>
      <c r="E5" s="74" t="s">
        <v>1001</v>
      </c>
      <c r="F5" s="73" t="s">
        <v>1060</v>
      </c>
      <c r="G5" s="73" t="s">
        <v>1061</v>
      </c>
      <c r="H5" s="590"/>
      <c r="I5" s="72" t="s">
        <v>1001</v>
      </c>
      <c r="J5" s="73" t="s">
        <v>1060</v>
      </c>
      <c r="K5" s="73" t="s">
        <v>1061</v>
      </c>
      <c r="L5" s="74" t="s">
        <v>1001</v>
      </c>
      <c r="M5" s="73" t="s">
        <v>1060</v>
      </c>
      <c r="N5" s="73" t="s">
        <v>1061</v>
      </c>
    </row>
    <row r="6" spans="1:15" ht="26.25" customHeight="1">
      <c r="A6" s="75" t="s">
        <v>1062</v>
      </c>
      <c r="B6" s="76">
        <v>37042</v>
      </c>
      <c r="C6" s="77">
        <v>21331</v>
      </c>
      <c r="D6" s="77">
        <v>15711</v>
      </c>
      <c r="E6" s="76">
        <v>37794</v>
      </c>
      <c r="F6" s="77">
        <v>21763</v>
      </c>
      <c r="G6" s="76">
        <v>16031</v>
      </c>
      <c r="H6" s="78" t="s">
        <v>1063</v>
      </c>
      <c r="I6" s="76">
        <f>SUM(J6:K6)</f>
        <v>36415</v>
      </c>
      <c r="J6" s="77">
        <v>20393</v>
      </c>
      <c r="K6" s="77">
        <v>16022</v>
      </c>
      <c r="L6" s="76">
        <v>41890</v>
      </c>
      <c r="M6" s="77">
        <v>23447</v>
      </c>
      <c r="N6" s="76">
        <v>18443</v>
      </c>
      <c r="O6" s="83"/>
    </row>
    <row r="7" spans="1:15" ht="26.25" customHeight="1">
      <c r="A7" s="79" t="s">
        <v>1019</v>
      </c>
      <c r="B7" s="76">
        <v>1595</v>
      </c>
      <c r="C7" s="77">
        <v>1530</v>
      </c>
      <c r="D7" s="77">
        <v>65</v>
      </c>
      <c r="E7" s="76">
        <v>1755</v>
      </c>
      <c r="F7" s="77">
        <v>1684</v>
      </c>
      <c r="G7" s="76">
        <v>71</v>
      </c>
      <c r="H7" s="78" t="s">
        <v>1064</v>
      </c>
      <c r="I7" s="76">
        <v>6820</v>
      </c>
      <c r="J7" s="77">
        <v>6820</v>
      </c>
      <c r="K7" s="77">
        <v>0</v>
      </c>
      <c r="L7" s="76">
        <v>6820</v>
      </c>
      <c r="M7" s="77">
        <v>6820</v>
      </c>
      <c r="N7" s="76">
        <v>0</v>
      </c>
      <c r="O7" s="83"/>
    </row>
    <row r="8" spans="1:15" ht="26.25" customHeight="1">
      <c r="A8" s="79" t="s">
        <v>1021</v>
      </c>
      <c r="B8" s="76"/>
      <c r="C8" s="76"/>
      <c r="D8" s="76"/>
      <c r="E8" s="76"/>
      <c r="F8" s="76"/>
      <c r="G8" s="76"/>
      <c r="H8" s="78" t="s">
        <v>1065</v>
      </c>
      <c r="I8" s="76">
        <v>169</v>
      </c>
      <c r="J8" s="76">
        <v>0</v>
      </c>
      <c r="K8" s="76">
        <v>169</v>
      </c>
      <c r="L8" s="76">
        <v>194</v>
      </c>
      <c r="M8" s="76">
        <v>0</v>
      </c>
      <c r="N8" s="76">
        <v>194</v>
      </c>
      <c r="O8" s="83"/>
    </row>
    <row r="9" spans="1:15" ht="26.25" customHeight="1">
      <c r="A9" s="79" t="s">
        <v>1066</v>
      </c>
      <c r="B9" s="76">
        <v>12462</v>
      </c>
      <c r="C9" s="76">
        <v>6820</v>
      </c>
      <c r="D9" s="76">
        <v>5642</v>
      </c>
      <c r="E9" s="76">
        <v>12513</v>
      </c>
      <c r="F9" s="76">
        <v>6820</v>
      </c>
      <c r="G9" s="76">
        <v>5693</v>
      </c>
      <c r="H9" s="78" t="s">
        <v>1067</v>
      </c>
      <c r="I9" s="76"/>
      <c r="J9" s="76"/>
      <c r="K9" s="76"/>
      <c r="L9" s="76"/>
      <c r="M9" s="76"/>
      <c r="N9" s="76"/>
      <c r="O9" s="83"/>
    </row>
    <row r="10" spans="1:15" ht="26.25" customHeight="1">
      <c r="A10" s="79" t="s">
        <v>1068</v>
      </c>
      <c r="B10" s="80"/>
      <c r="C10" s="76"/>
      <c r="D10" s="76"/>
      <c r="E10" s="80"/>
      <c r="F10" s="76"/>
      <c r="G10" s="76"/>
      <c r="H10" s="78" t="s">
        <v>1069</v>
      </c>
      <c r="I10" s="76"/>
      <c r="J10" s="76"/>
      <c r="K10" s="76"/>
      <c r="L10" s="76"/>
      <c r="M10" s="76"/>
      <c r="N10" s="76"/>
      <c r="O10" s="83"/>
    </row>
    <row r="11" spans="1:15" ht="26.25" customHeight="1">
      <c r="A11" s="79" t="s">
        <v>1070</v>
      </c>
      <c r="B11" s="80"/>
      <c r="C11" s="76"/>
      <c r="D11" s="76"/>
      <c r="E11" s="80"/>
      <c r="F11" s="76"/>
      <c r="G11" s="76"/>
      <c r="H11" s="78"/>
      <c r="I11" s="80"/>
      <c r="J11" s="76"/>
      <c r="K11" s="76"/>
      <c r="L11" s="80"/>
      <c r="M11" s="76"/>
      <c r="N11" s="76"/>
      <c r="O11" s="83"/>
    </row>
    <row r="12" spans="1:15" ht="26.25" customHeight="1">
      <c r="A12" s="79" t="s">
        <v>1071</v>
      </c>
      <c r="B12" s="80"/>
      <c r="C12" s="76"/>
      <c r="D12" s="76"/>
      <c r="E12" s="80"/>
      <c r="F12" s="76"/>
      <c r="G12" s="76"/>
      <c r="H12" s="78"/>
      <c r="I12" s="80"/>
      <c r="J12" s="76"/>
      <c r="K12" s="76"/>
      <c r="L12" s="80"/>
      <c r="M12" s="76"/>
      <c r="N12" s="76"/>
      <c r="O12" s="83"/>
    </row>
    <row r="13" spans="1:15" ht="26.25" customHeight="1">
      <c r="A13" s="79" t="s">
        <v>1030</v>
      </c>
      <c r="B13" s="76">
        <f t="shared" ref="B13:G13" si="0">SUM(B6:B12)</f>
        <v>51099</v>
      </c>
      <c r="C13" s="76">
        <f t="shared" si="0"/>
        <v>29681</v>
      </c>
      <c r="D13" s="76">
        <f t="shared" si="0"/>
        <v>21418</v>
      </c>
      <c r="E13" s="76">
        <f t="shared" si="0"/>
        <v>52062</v>
      </c>
      <c r="F13" s="76">
        <f t="shared" si="0"/>
        <v>30267</v>
      </c>
      <c r="G13" s="76">
        <f t="shared" si="0"/>
        <v>21795</v>
      </c>
      <c r="H13" s="78" t="s">
        <v>1041</v>
      </c>
      <c r="I13" s="76">
        <f t="shared" ref="I13:N13" si="1">SUM(I6:I12)</f>
        <v>43404</v>
      </c>
      <c r="J13" s="76">
        <f t="shared" si="1"/>
        <v>27213</v>
      </c>
      <c r="K13" s="76">
        <f t="shared" si="1"/>
        <v>16191</v>
      </c>
      <c r="L13" s="76">
        <f t="shared" si="1"/>
        <v>48904</v>
      </c>
      <c r="M13" s="76">
        <f t="shared" si="1"/>
        <v>30267</v>
      </c>
      <c r="N13" s="76">
        <f t="shared" si="1"/>
        <v>18637</v>
      </c>
      <c r="O13" s="83"/>
    </row>
    <row r="14" spans="1:15" ht="26.25" customHeight="1">
      <c r="A14" s="79"/>
      <c r="B14" s="76"/>
      <c r="C14" s="76"/>
      <c r="D14" s="76"/>
      <c r="E14" s="76"/>
      <c r="F14" s="76"/>
      <c r="G14" s="76"/>
      <c r="H14" s="78" t="s">
        <v>1042</v>
      </c>
      <c r="I14" s="76">
        <f t="shared" ref="I14:N14" si="2">B13-I13</f>
        <v>7695</v>
      </c>
      <c r="J14" s="76">
        <f t="shared" si="2"/>
        <v>2468</v>
      </c>
      <c r="K14" s="76">
        <f t="shared" si="2"/>
        <v>5227</v>
      </c>
      <c r="L14" s="76">
        <f t="shared" si="2"/>
        <v>3158</v>
      </c>
      <c r="M14" s="76">
        <f t="shared" si="2"/>
        <v>0</v>
      </c>
      <c r="N14" s="76">
        <f t="shared" si="2"/>
        <v>3158</v>
      </c>
      <c r="O14" s="83"/>
    </row>
    <row r="15" spans="1:15" ht="26.25" customHeight="1">
      <c r="A15" s="79" t="s">
        <v>1034</v>
      </c>
      <c r="B15" s="76">
        <f>SUM(C15:D15)</f>
        <v>73290</v>
      </c>
      <c r="C15" s="77">
        <v>55001</v>
      </c>
      <c r="D15" s="77">
        <v>18289</v>
      </c>
      <c r="E15" s="76">
        <v>80985</v>
      </c>
      <c r="F15" s="76">
        <v>57469</v>
      </c>
      <c r="G15" s="76">
        <v>23516</v>
      </c>
      <c r="H15" s="78" t="s">
        <v>1043</v>
      </c>
      <c r="I15" s="76">
        <f t="shared" ref="I15:N15" si="3">B15+I14</f>
        <v>80985</v>
      </c>
      <c r="J15" s="76">
        <f t="shared" si="3"/>
        <v>57469</v>
      </c>
      <c r="K15" s="76">
        <f t="shared" si="3"/>
        <v>23516</v>
      </c>
      <c r="L15" s="76">
        <f t="shared" si="3"/>
        <v>84143</v>
      </c>
      <c r="M15" s="76">
        <f t="shared" si="3"/>
        <v>57469</v>
      </c>
      <c r="N15" s="76">
        <f t="shared" si="3"/>
        <v>26674</v>
      </c>
      <c r="O15" s="83"/>
    </row>
    <row r="16" spans="1:15" ht="26.25" customHeight="1">
      <c r="A16" s="81" t="s">
        <v>1072</v>
      </c>
      <c r="B16" s="80">
        <f t="shared" ref="B16:G16" si="4">B13+B15</f>
        <v>124389</v>
      </c>
      <c r="C16" s="80">
        <f t="shared" si="4"/>
        <v>84682</v>
      </c>
      <c r="D16" s="80">
        <f t="shared" si="4"/>
        <v>39707</v>
      </c>
      <c r="E16" s="80">
        <f t="shared" si="4"/>
        <v>133047</v>
      </c>
      <c r="F16" s="80">
        <f t="shared" si="4"/>
        <v>87736</v>
      </c>
      <c r="G16" s="80">
        <f t="shared" si="4"/>
        <v>45311</v>
      </c>
      <c r="H16" s="82" t="s">
        <v>1073</v>
      </c>
      <c r="I16" s="80">
        <f t="shared" ref="I16:N16" si="5">I13+I15</f>
        <v>124389</v>
      </c>
      <c r="J16" s="80">
        <f t="shared" si="5"/>
        <v>84682</v>
      </c>
      <c r="K16" s="80">
        <f t="shared" si="5"/>
        <v>39707</v>
      </c>
      <c r="L16" s="80">
        <f t="shared" si="5"/>
        <v>133047</v>
      </c>
      <c r="M16" s="80">
        <f t="shared" si="5"/>
        <v>87736</v>
      </c>
      <c r="N16" s="80">
        <f t="shared" si="5"/>
        <v>45311</v>
      </c>
      <c r="O16" s="83"/>
    </row>
    <row r="17" spans="1:15" ht="44.25" customHeight="1">
      <c r="A17" s="586"/>
      <c r="B17" s="586"/>
      <c r="C17" s="586"/>
      <c r="D17" s="586"/>
      <c r="E17" s="586"/>
      <c r="F17" s="586"/>
      <c r="G17" s="586"/>
      <c r="H17" s="586"/>
      <c r="I17" s="586"/>
      <c r="J17" s="586"/>
      <c r="K17" s="586"/>
      <c r="L17" s="586"/>
      <c r="M17" s="586"/>
      <c r="N17" s="586"/>
      <c r="O17" s="83"/>
    </row>
    <row r="18" spans="1:15" ht="14.25" customHeight="1">
      <c r="B18" s="83"/>
      <c r="C18" s="83"/>
      <c r="D18" s="83"/>
      <c r="E18" s="83"/>
      <c r="F18" s="83"/>
      <c r="G18" s="83"/>
      <c r="H18" s="83"/>
      <c r="I18" s="83"/>
      <c r="J18" s="83"/>
      <c r="K18" s="83"/>
      <c r="L18" s="83"/>
      <c r="M18" s="83"/>
      <c r="N18" s="83"/>
      <c r="O18" s="83"/>
    </row>
    <row r="19" spans="1:15" ht="14.25" customHeight="1">
      <c r="B19" s="83"/>
      <c r="C19" s="83"/>
      <c r="D19" s="83"/>
      <c r="E19" s="83"/>
      <c r="F19" s="83"/>
      <c r="G19" s="83"/>
      <c r="H19" s="83"/>
      <c r="I19" s="83"/>
      <c r="J19" s="83"/>
      <c r="K19" s="83"/>
      <c r="L19" s="83"/>
      <c r="M19" s="83"/>
      <c r="N19" s="83"/>
      <c r="O19" s="83"/>
    </row>
    <row r="20" spans="1:15" ht="14.25" customHeight="1">
      <c r="B20" s="83"/>
      <c r="C20" s="83"/>
      <c r="D20" s="83"/>
      <c r="E20" s="83"/>
      <c r="F20" s="83"/>
      <c r="G20" s="83"/>
      <c r="H20" s="83"/>
      <c r="I20" s="83"/>
      <c r="J20" s="83"/>
      <c r="K20" s="83"/>
      <c r="L20" s="83"/>
      <c r="M20" s="83"/>
      <c r="N20" s="83"/>
      <c r="O20" s="83"/>
    </row>
    <row r="21" spans="1:15" ht="14.25" customHeight="1">
      <c r="B21" s="83"/>
      <c r="C21" s="83"/>
      <c r="D21" s="83"/>
      <c r="E21" s="83"/>
      <c r="F21" s="83"/>
      <c r="G21" s="83"/>
      <c r="H21" s="83"/>
      <c r="I21" s="83"/>
      <c r="J21" s="83"/>
      <c r="K21" s="83"/>
      <c r="L21" s="83"/>
      <c r="M21" s="83"/>
      <c r="N21" s="83"/>
      <c r="O21" s="83"/>
    </row>
    <row r="22" spans="1:15" ht="14.25" customHeight="1">
      <c r="B22" s="83"/>
      <c r="C22" s="83"/>
      <c r="D22" s="83"/>
      <c r="E22" s="83"/>
      <c r="F22" s="83"/>
      <c r="G22" s="83"/>
      <c r="H22" s="83"/>
      <c r="I22" s="83"/>
      <c r="J22" s="83"/>
      <c r="K22" s="83"/>
      <c r="L22" s="83"/>
      <c r="M22" s="83"/>
      <c r="N22" s="83"/>
      <c r="O22" s="83"/>
    </row>
    <row r="23" spans="1:15" ht="14.25" customHeight="1">
      <c r="B23" s="83"/>
      <c r="C23" s="83"/>
      <c r="D23" s="83"/>
      <c r="E23" s="83"/>
      <c r="F23" s="83"/>
      <c r="G23" s="83"/>
      <c r="H23" s="83"/>
      <c r="I23" s="83"/>
      <c r="J23" s="83"/>
      <c r="K23" s="83"/>
      <c r="L23" s="83"/>
      <c r="M23" s="83"/>
      <c r="N23" s="83"/>
      <c r="O23" s="83"/>
    </row>
  </sheetData>
  <mergeCells count="8">
    <mergeCell ref="A17:N17"/>
    <mergeCell ref="A4:A5"/>
    <mergeCell ref="H4:H5"/>
    <mergeCell ref="A1:N1"/>
    <mergeCell ref="B4:D4"/>
    <mergeCell ref="E4:G4"/>
    <mergeCell ref="I4:K4"/>
    <mergeCell ref="L4:N4"/>
  </mergeCells>
  <phoneticPr fontId="2" type="noConversion"/>
  <pageMargins left="0.74791666666666701" right="0.74791666666666701" top="0.98402777777777795" bottom="0.98402777777777795" header="0.51180555555555596" footer="0.51180555555555596"/>
  <pageSetup paperSize="9" orientation="landscape" errors="blank"/>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F17"/>
  <sheetViews>
    <sheetView workbookViewId="0">
      <selection activeCell="C25" sqref="C25"/>
    </sheetView>
  </sheetViews>
  <sheetFormatPr defaultColWidth="8" defaultRowHeight="14.25" customHeight="1"/>
  <cols>
    <col min="1" max="1" width="23.375" style="48" customWidth="1"/>
    <col min="2" max="2" width="19.125" style="48" customWidth="1"/>
    <col min="3" max="3" width="19.5" style="48" customWidth="1"/>
    <col min="4" max="4" width="23.375" style="48" customWidth="1"/>
    <col min="5" max="5" width="19" style="48" customWidth="1"/>
    <col min="6" max="6" width="20" style="48" customWidth="1"/>
    <col min="7" max="16384" width="8" style="48"/>
  </cols>
  <sheetData>
    <row r="1" spans="1:6" ht="3.75" customHeight="1">
      <c r="A1" s="49"/>
      <c r="B1" s="50"/>
      <c r="C1" s="50"/>
      <c r="D1" s="50"/>
      <c r="E1" s="50"/>
      <c r="F1" s="50"/>
    </row>
    <row r="2" spans="1:6" ht="34.5" customHeight="1">
      <c r="A2" s="580" t="s">
        <v>66</v>
      </c>
      <c r="B2" s="580"/>
      <c r="C2" s="580"/>
      <c r="D2" s="580"/>
      <c r="E2" s="580"/>
      <c r="F2" s="580"/>
    </row>
    <row r="3" spans="1:6" ht="15" customHeight="1">
      <c r="A3" s="65"/>
      <c r="B3" s="597"/>
      <c r="C3" s="597"/>
      <c r="D3" s="597"/>
      <c r="E3" s="597"/>
      <c r="F3" s="52"/>
    </row>
    <row r="4" spans="1:6" ht="15" customHeight="1">
      <c r="A4" s="53"/>
      <c r="B4" s="53"/>
      <c r="C4" s="53"/>
      <c r="D4" s="53"/>
      <c r="E4" s="54"/>
      <c r="F4" s="55" t="s">
        <v>210</v>
      </c>
    </row>
    <row r="5" spans="1:6" ht="26.25" customHeight="1">
      <c r="A5" s="56" t="s">
        <v>247</v>
      </c>
      <c r="B5" s="56" t="s">
        <v>1015</v>
      </c>
      <c r="C5" s="56" t="s">
        <v>366</v>
      </c>
      <c r="D5" s="56" t="s">
        <v>1014</v>
      </c>
      <c r="E5" s="56" t="s">
        <v>1015</v>
      </c>
      <c r="F5" s="56" t="s">
        <v>366</v>
      </c>
    </row>
    <row r="6" spans="1:6" ht="26.25" customHeight="1">
      <c r="A6" s="57" t="s">
        <v>1074</v>
      </c>
      <c r="B6" s="66">
        <v>5267</v>
      </c>
      <c r="C6" s="58">
        <v>5366</v>
      </c>
      <c r="D6" s="59" t="s">
        <v>1075</v>
      </c>
      <c r="E6" s="66">
        <v>4118</v>
      </c>
      <c r="F6" s="58">
        <v>4171</v>
      </c>
    </row>
    <row r="7" spans="1:6" ht="26.25" customHeight="1">
      <c r="A7" s="57" t="s">
        <v>1019</v>
      </c>
      <c r="B7" s="66">
        <v>346</v>
      </c>
      <c r="C7" s="58">
        <v>398</v>
      </c>
      <c r="D7" s="59" t="s">
        <v>1076</v>
      </c>
      <c r="E7" s="66">
        <v>12</v>
      </c>
      <c r="F7" s="58">
        <v>12</v>
      </c>
    </row>
    <row r="8" spans="1:6" ht="26.25" customHeight="1">
      <c r="A8" s="57" t="s">
        <v>1021</v>
      </c>
      <c r="B8" s="66">
        <v>114</v>
      </c>
      <c r="C8" s="58"/>
      <c r="D8" s="61" t="s">
        <v>1077</v>
      </c>
      <c r="E8" s="66">
        <v>40</v>
      </c>
      <c r="F8" s="58">
        <v>40</v>
      </c>
    </row>
    <row r="9" spans="1:6" ht="26.25" customHeight="1">
      <c r="A9" s="57" t="s">
        <v>1023</v>
      </c>
      <c r="B9" s="66"/>
      <c r="C9" s="58"/>
      <c r="D9" s="61" t="s">
        <v>1024</v>
      </c>
      <c r="E9" s="66"/>
      <c r="F9" s="58"/>
    </row>
    <row r="10" spans="1:6" ht="26.25" customHeight="1">
      <c r="A10" s="57" t="s">
        <v>1078</v>
      </c>
      <c r="B10" s="66"/>
      <c r="C10" s="58"/>
      <c r="D10" s="61" t="s">
        <v>1040</v>
      </c>
      <c r="E10" s="66">
        <v>580</v>
      </c>
      <c r="F10" s="58">
        <v>600</v>
      </c>
    </row>
    <row r="11" spans="1:6" ht="26.25" customHeight="1">
      <c r="A11" s="57" t="s">
        <v>1070</v>
      </c>
      <c r="B11" s="66">
        <v>79</v>
      </c>
      <c r="C11" s="58"/>
      <c r="D11" s="59" t="s">
        <v>1079</v>
      </c>
      <c r="E11" s="66">
        <v>915</v>
      </c>
      <c r="F11" s="58"/>
    </row>
    <row r="12" spans="1:6" ht="26.25" customHeight="1">
      <c r="A12" s="57" t="s">
        <v>1071</v>
      </c>
      <c r="B12" s="66">
        <v>1207</v>
      </c>
      <c r="C12" s="58">
        <v>1251</v>
      </c>
      <c r="D12" s="59" t="s">
        <v>1080</v>
      </c>
      <c r="E12" s="66">
        <v>405</v>
      </c>
      <c r="F12" s="58">
        <v>445</v>
      </c>
    </row>
    <row r="13" spans="1:6" ht="26.25" customHeight="1">
      <c r="A13" s="57" t="s">
        <v>1030</v>
      </c>
      <c r="B13" s="66">
        <f t="shared" ref="B13:C13" si="0">SUM(B6:B12)</f>
        <v>7013</v>
      </c>
      <c r="C13" s="66">
        <f t="shared" si="0"/>
        <v>7015</v>
      </c>
      <c r="D13" s="59" t="s">
        <v>1031</v>
      </c>
      <c r="E13" s="66">
        <f>SUM(E6:E12)</f>
        <v>6070</v>
      </c>
      <c r="F13" s="66">
        <f>SUM(F6:F12)</f>
        <v>5268</v>
      </c>
    </row>
    <row r="14" spans="1:6" ht="26.25" customHeight="1">
      <c r="A14" s="63" t="s">
        <v>1032</v>
      </c>
      <c r="B14" s="66"/>
      <c r="C14" s="58"/>
      <c r="D14" s="59" t="s">
        <v>1033</v>
      </c>
      <c r="E14" s="66">
        <f>B13-E13</f>
        <v>943</v>
      </c>
      <c r="F14" s="62">
        <f>C13-F13</f>
        <v>1747</v>
      </c>
    </row>
    <row r="15" spans="1:6" ht="26.25" customHeight="1">
      <c r="A15" s="57" t="s">
        <v>1081</v>
      </c>
      <c r="B15" s="66">
        <v>18009</v>
      </c>
      <c r="C15" s="58">
        <f>E15</f>
        <v>18952</v>
      </c>
      <c r="D15" s="59" t="s">
        <v>1035</v>
      </c>
      <c r="E15" s="66">
        <f>B15+E14</f>
        <v>18952</v>
      </c>
      <c r="F15" s="66">
        <f>C15+F14</f>
        <v>20699</v>
      </c>
    </row>
    <row r="16" spans="1:6" ht="26.25" customHeight="1">
      <c r="A16" s="63" t="s">
        <v>1036</v>
      </c>
      <c r="B16" s="67">
        <f t="shared" ref="B16:C16" si="1">B13+B15</f>
        <v>25022</v>
      </c>
      <c r="C16" s="67">
        <f t="shared" si="1"/>
        <v>25967</v>
      </c>
      <c r="D16" s="64" t="s">
        <v>1036</v>
      </c>
      <c r="E16" s="67">
        <f>E13+E15</f>
        <v>25022</v>
      </c>
      <c r="F16" s="67">
        <f>F13+F15</f>
        <v>25967</v>
      </c>
    </row>
    <row r="17" spans="1:6" ht="26.25" customHeight="1">
      <c r="A17" s="68"/>
      <c r="B17" s="68"/>
      <c r="C17" s="68"/>
      <c r="D17" s="68"/>
      <c r="E17" s="68"/>
      <c r="F17" s="52"/>
    </row>
  </sheetData>
  <mergeCells count="2">
    <mergeCell ref="A2:F2"/>
    <mergeCell ref="B3:E3"/>
  </mergeCells>
  <phoneticPr fontId="2" type="noConversion"/>
  <pageMargins left="0.74791666666666701" right="0.74791666666666701" top="0.98402777777777795" bottom="0.98402777777777795" header="0.51180555555555596" footer="0.51180555555555596"/>
  <pageSetup paperSize="9" orientation="landscape" errors="blank"/>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F16"/>
  <sheetViews>
    <sheetView workbookViewId="0">
      <selection activeCell="C25" sqref="C25"/>
    </sheetView>
  </sheetViews>
  <sheetFormatPr defaultColWidth="8" defaultRowHeight="14.25" customHeight="1"/>
  <cols>
    <col min="1" max="1" width="23.875" style="48" customWidth="1"/>
    <col min="2" max="3" width="20" style="48" customWidth="1"/>
    <col min="4" max="4" width="23.25" style="48" customWidth="1"/>
    <col min="5" max="6" width="20" style="48" customWidth="1"/>
    <col min="7" max="16384" width="8" style="48"/>
  </cols>
  <sheetData>
    <row r="1" spans="1:6" ht="7.5" customHeight="1">
      <c r="A1" s="49"/>
      <c r="B1" s="50"/>
      <c r="C1" s="50"/>
      <c r="D1" s="50"/>
      <c r="E1" s="50"/>
      <c r="F1" s="50"/>
    </row>
    <row r="2" spans="1:6" ht="45" customHeight="1">
      <c r="A2" s="580" t="s">
        <v>68</v>
      </c>
      <c r="B2" s="580"/>
      <c r="C2" s="580"/>
      <c r="D2" s="580"/>
      <c r="E2" s="580"/>
      <c r="F2" s="580"/>
    </row>
    <row r="3" spans="1:6" ht="15" customHeight="1">
      <c r="A3" s="51"/>
      <c r="B3" s="598"/>
      <c r="C3" s="598"/>
      <c r="D3" s="598"/>
      <c r="E3" s="598"/>
      <c r="F3" s="52"/>
    </row>
    <row r="4" spans="1:6" ht="15" customHeight="1">
      <c r="A4" s="53"/>
      <c r="B4" s="53"/>
      <c r="C4" s="53"/>
      <c r="D4" s="53"/>
      <c r="E4" s="54"/>
      <c r="F4" s="55" t="s">
        <v>210</v>
      </c>
    </row>
    <row r="5" spans="1:6" ht="26.25" customHeight="1">
      <c r="A5" s="56" t="s">
        <v>1016</v>
      </c>
      <c r="B5" s="56" t="s">
        <v>1044</v>
      </c>
      <c r="C5" s="56" t="s">
        <v>1045</v>
      </c>
      <c r="D5" s="56" t="s">
        <v>247</v>
      </c>
      <c r="E5" s="56" t="s">
        <v>1044</v>
      </c>
      <c r="F5" s="56" t="s">
        <v>1045</v>
      </c>
    </row>
    <row r="6" spans="1:6" ht="26.25" customHeight="1">
      <c r="A6" s="57" t="s">
        <v>1082</v>
      </c>
      <c r="B6" s="58">
        <v>1967</v>
      </c>
      <c r="C6" s="58">
        <v>2007</v>
      </c>
      <c r="D6" s="59" t="s">
        <v>1083</v>
      </c>
      <c r="E6" s="58">
        <v>594</v>
      </c>
      <c r="F6" s="58">
        <v>673</v>
      </c>
    </row>
    <row r="7" spans="1:6" ht="26.25" customHeight="1">
      <c r="A7" s="57" t="s">
        <v>1019</v>
      </c>
      <c r="B7" s="58">
        <v>51</v>
      </c>
      <c r="C7" s="58">
        <v>30</v>
      </c>
      <c r="D7" s="59" t="s">
        <v>1084</v>
      </c>
      <c r="E7" s="58">
        <v>2201</v>
      </c>
      <c r="F7" s="58">
        <v>3116</v>
      </c>
    </row>
    <row r="8" spans="1:6" ht="26.25" customHeight="1">
      <c r="A8" s="57" t="s">
        <v>1021</v>
      </c>
      <c r="B8" s="58"/>
      <c r="C8" s="58"/>
      <c r="D8" s="60" t="s">
        <v>1032</v>
      </c>
      <c r="E8" s="58" t="s">
        <v>1032</v>
      </c>
      <c r="F8" s="58" t="s">
        <v>1032</v>
      </c>
    </row>
    <row r="9" spans="1:6" ht="26.25" customHeight="1">
      <c r="A9" s="57" t="s">
        <v>1023</v>
      </c>
      <c r="B9" s="58"/>
      <c r="C9" s="58"/>
      <c r="D9" s="61" t="s">
        <v>1065</v>
      </c>
      <c r="E9" s="58"/>
      <c r="F9" s="58"/>
    </row>
    <row r="10" spans="1:6" ht="26.25" customHeight="1">
      <c r="A10" s="57" t="s">
        <v>1078</v>
      </c>
      <c r="B10" s="58"/>
      <c r="C10" s="58"/>
      <c r="D10" s="59" t="s">
        <v>1085</v>
      </c>
      <c r="E10" s="58"/>
      <c r="F10" s="58"/>
    </row>
    <row r="11" spans="1:6" ht="26.25" customHeight="1">
      <c r="A11" s="57" t="s">
        <v>1070</v>
      </c>
      <c r="B11" s="58"/>
      <c r="C11" s="58"/>
      <c r="D11" s="59" t="s">
        <v>1026</v>
      </c>
      <c r="E11" s="62"/>
      <c r="F11" s="62"/>
    </row>
    <row r="12" spans="1:6" ht="26.25" customHeight="1">
      <c r="A12" s="57" t="s">
        <v>1071</v>
      </c>
      <c r="B12" s="58"/>
      <c r="C12" s="58"/>
      <c r="D12" s="59" t="s">
        <v>1028</v>
      </c>
      <c r="E12" s="62"/>
      <c r="F12" s="62"/>
    </row>
    <row r="13" spans="1:6" ht="26.25" customHeight="1">
      <c r="A13" s="57" t="s">
        <v>1030</v>
      </c>
      <c r="B13" s="58">
        <f t="shared" ref="B13:C13" si="0">SUM(B6:B12)</f>
        <v>2018</v>
      </c>
      <c r="C13" s="58">
        <f t="shared" si="0"/>
        <v>2037</v>
      </c>
      <c r="D13" s="59" t="s">
        <v>1086</v>
      </c>
      <c r="E13" s="58">
        <f>SUM(E6:E12)</f>
        <v>2795</v>
      </c>
      <c r="F13" s="58">
        <f>SUM(F6:F12)</f>
        <v>3789</v>
      </c>
    </row>
    <row r="14" spans="1:6" ht="26.25" customHeight="1">
      <c r="A14" s="63" t="s">
        <v>1032</v>
      </c>
      <c r="B14" s="58" t="s">
        <v>1032</v>
      </c>
      <c r="C14" s="58" t="s">
        <v>1032</v>
      </c>
      <c r="D14" s="59" t="s">
        <v>1087</v>
      </c>
      <c r="E14" s="62">
        <f>B13-E13</f>
        <v>-777</v>
      </c>
      <c r="F14" s="62">
        <f>C13-F13</f>
        <v>-1752</v>
      </c>
    </row>
    <row r="15" spans="1:6" ht="26.25" customHeight="1">
      <c r="A15" s="57" t="s">
        <v>1034</v>
      </c>
      <c r="B15" s="58">
        <v>2529</v>
      </c>
      <c r="C15" s="58">
        <f>E15</f>
        <v>1752</v>
      </c>
      <c r="D15" s="59" t="s">
        <v>1088</v>
      </c>
      <c r="E15" s="62">
        <f>B15+E14</f>
        <v>1752</v>
      </c>
      <c r="F15" s="62">
        <v>0</v>
      </c>
    </row>
    <row r="16" spans="1:6" ht="26.25" customHeight="1">
      <c r="A16" s="63" t="s">
        <v>1036</v>
      </c>
      <c r="B16" s="58">
        <f t="shared" ref="B16:C16" si="1">B13+B15</f>
        <v>4547</v>
      </c>
      <c r="C16" s="58">
        <f t="shared" si="1"/>
        <v>3789</v>
      </c>
      <c r="D16" s="64" t="s">
        <v>1036</v>
      </c>
      <c r="E16" s="58">
        <f>E13+E15</f>
        <v>4547</v>
      </c>
      <c r="F16" s="58">
        <f>F13+F15</f>
        <v>3789</v>
      </c>
    </row>
  </sheetData>
  <mergeCells count="2">
    <mergeCell ref="A2:F2"/>
    <mergeCell ref="B3:E3"/>
  </mergeCells>
  <phoneticPr fontId="2" type="noConversion"/>
  <pageMargins left="0.75" right="0.75" top="1" bottom="1" header="0.5" footer="0.5"/>
  <pageSetup paperSize="9"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B5" sqref="B5"/>
    </sheetView>
  </sheetViews>
  <sheetFormatPr defaultColWidth="6.75" defaultRowHeight="11.25"/>
  <cols>
    <col min="1" max="1" width="37.5" style="18" customWidth="1"/>
    <col min="2" max="2" width="22" style="18" customWidth="1"/>
    <col min="3" max="3" width="20.75" style="18" customWidth="1"/>
    <col min="4" max="16384" width="6.75" style="18"/>
  </cols>
  <sheetData>
    <row r="1" spans="1:3" ht="54" customHeight="1">
      <c r="A1" s="599" t="s">
        <v>1089</v>
      </c>
      <c r="B1" s="599"/>
      <c r="C1" s="599"/>
    </row>
    <row r="2" spans="1:3" ht="17.25" customHeight="1">
      <c r="A2" s="38"/>
      <c r="C2" s="39" t="s">
        <v>81</v>
      </c>
    </row>
    <row r="3" spans="1:3" ht="42.75" customHeight="1">
      <c r="A3" s="23" t="s">
        <v>1090</v>
      </c>
      <c r="B3" s="23" t="s">
        <v>1091</v>
      </c>
      <c r="C3" s="40" t="s">
        <v>1092</v>
      </c>
    </row>
    <row r="4" spans="1:3" ht="26.25" customHeight="1">
      <c r="A4" s="41" t="s">
        <v>1093</v>
      </c>
      <c r="B4" s="42">
        <f>B5+B12+B13</f>
        <v>78784</v>
      </c>
      <c r="C4" s="43"/>
    </row>
    <row r="5" spans="1:3" ht="26.25" customHeight="1">
      <c r="A5" s="44" t="s">
        <v>1094</v>
      </c>
      <c r="B5" s="42">
        <f>SUM(B6:B11)</f>
        <v>38497</v>
      </c>
      <c r="C5" s="600" t="s">
        <v>1095</v>
      </c>
    </row>
    <row r="6" spans="1:3" ht="26.25" customHeight="1">
      <c r="A6" s="45" t="s">
        <v>1096</v>
      </c>
      <c r="B6" s="46">
        <v>10988</v>
      </c>
      <c r="C6" s="600"/>
    </row>
    <row r="7" spans="1:3" ht="26.25" customHeight="1">
      <c r="A7" s="45" t="s">
        <v>1097</v>
      </c>
      <c r="B7" s="46">
        <v>110</v>
      </c>
      <c r="C7" s="600"/>
    </row>
    <row r="8" spans="1:3" ht="26.25" customHeight="1">
      <c r="A8" s="45" t="s">
        <v>1098</v>
      </c>
      <c r="B8" s="46">
        <v>1721</v>
      </c>
      <c r="C8" s="600"/>
    </row>
    <row r="9" spans="1:3" ht="26.25" customHeight="1">
      <c r="A9" s="45" t="s">
        <v>1099</v>
      </c>
      <c r="B9" s="46">
        <v>186</v>
      </c>
      <c r="C9" s="600"/>
    </row>
    <row r="10" spans="1:3" ht="26.25" customHeight="1">
      <c r="A10" s="45" t="s">
        <v>1100</v>
      </c>
      <c r="B10" s="46">
        <v>16930</v>
      </c>
      <c r="C10" s="600"/>
    </row>
    <row r="11" spans="1:3" ht="26.25" customHeight="1">
      <c r="A11" s="45" t="s">
        <v>1101</v>
      </c>
      <c r="B11" s="46">
        <v>8562</v>
      </c>
      <c r="C11" s="600"/>
    </row>
    <row r="12" spans="1:3" ht="26.25" customHeight="1">
      <c r="A12" s="44" t="s">
        <v>1102</v>
      </c>
      <c r="B12" s="42">
        <v>0</v>
      </c>
      <c r="C12" s="47" t="s">
        <v>1103</v>
      </c>
    </row>
    <row r="13" spans="1:3" ht="26.25" customHeight="1">
      <c r="A13" s="44" t="s">
        <v>1104</v>
      </c>
      <c r="B13" s="42">
        <v>40287</v>
      </c>
      <c r="C13" s="47" t="s">
        <v>1103</v>
      </c>
    </row>
    <row r="14" spans="1:3" ht="26.25" customHeight="1">
      <c r="A14" s="23" t="s">
        <v>1105</v>
      </c>
      <c r="B14" s="46">
        <v>271</v>
      </c>
      <c r="C14" s="43"/>
    </row>
    <row r="15" spans="1:3" ht="26.25" customHeight="1">
      <c r="A15" s="23" t="s">
        <v>1106</v>
      </c>
      <c r="B15" s="46"/>
      <c r="C15" s="43"/>
    </row>
    <row r="16" spans="1:3" ht="26.25" customHeight="1">
      <c r="A16" s="23" t="s">
        <v>1107</v>
      </c>
      <c r="B16" s="46"/>
      <c r="C16" s="43"/>
    </row>
    <row r="17" spans="1:3" ht="26.25" customHeight="1">
      <c r="A17" s="23" t="s">
        <v>1108</v>
      </c>
      <c r="B17" s="46">
        <v>1205</v>
      </c>
      <c r="C17" s="43"/>
    </row>
    <row r="18" spans="1:3" ht="26.25" customHeight="1">
      <c r="A18" s="23" t="s">
        <v>1109</v>
      </c>
      <c r="B18" s="46">
        <v>5241</v>
      </c>
      <c r="C18" s="43"/>
    </row>
    <row r="19" spans="1:3" ht="26.25" customHeight="1">
      <c r="A19" s="23" t="s">
        <v>1110</v>
      </c>
      <c r="B19" s="46">
        <v>2041</v>
      </c>
      <c r="C19" s="43"/>
    </row>
    <row r="20" spans="1:3" ht="26.25" customHeight="1">
      <c r="A20" s="23" t="s">
        <v>1111</v>
      </c>
      <c r="B20" s="46">
        <v>1515</v>
      </c>
      <c r="C20" s="43"/>
    </row>
    <row r="21" spans="1:3" ht="26.25" customHeight="1">
      <c r="A21" s="23" t="s">
        <v>1112</v>
      </c>
      <c r="B21" s="46">
        <v>3591</v>
      </c>
      <c r="C21" s="43"/>
    </row>
    <row r="22" spans="1:3" ht="26.25" customHeight="1">
      <c r="A22" s="23" t="s">
        <v>1113</v>
      </c>
      <c r="B22" s="46">
        <v>9198</v>
      </c>
      <c r="C22" s="43"/>
    </row>
    <row r="23" spans="1:3" ht="26.25" customHeight="1">
      <c r="A23" s="23" t="s">
        <v>1114</v>
      </c>
      <c r="B23" s="46">
        <v>595</v>
      </c>
      <c r="C23" s="43"/>
    </row>
    <row r="24" spans="1:3" ht="26.25" customHeight="1">
      <c r="A24" s="23" t="s">
        <v>1115</v>
      </c>
      <c r="B24" s="46">
        <v>4203</v>
      </c>
      <c r="C24" s="43"/>
    </row>
    <row r="25" spans="1:3" ht="26.25" customHeight="1">
      <c r="A25" s="23" t="s">
        <v>1116</v>
      </c>
      <c r="B25" s="46">
        <v>6635</v>
      </c>
      <c r="C25" s="43"/>
    </row>
    <row r="26" spans="1:3" ht="26.25" customHeight="1">
      <c r="A26" s="23" t="s">
        <v>1117</v>
      </c>
      <c r="B26" s="46"/>
      <c r="C26" s="43"/>
    </row>
    <row r="27" spans="1:3" ht="26.25" customHeight="1">
      <c r="A27" s="23" t="s">
        <v>1118</v>
      </c>
      <c r="B27" s="46">
        <v>121</v>
      </c>
      <c r="C27" s="43"/>
    </row>
    <row r="28" spans="1:3" ht="26.25" customHeight="1">
      <c r="A28" s="23" t="s">
        <v>1119</v>
      </c>
      <c r="B28" s="46"/>
      <c r="C28" s="43"/>
    </row>
    <row r="29" spans="1:3" ht="26.25" customHeight="1">
      <c r="A29" s="23" t="s">
        <v>1120</v>
      </c>
      <c r="B29" s="46">
        <v>21</v>
      </c>
      <c r="C29" s="43"/>
    </row>
    <row r="30" spans="1:3" ht="26.25" customHeight="1">
      <c r="A30" s="23" t="s">
        <v>1121</v>
      </c>
      <c r="B30" s="46">
        <v>1902</v>
      </c>
      <c r="C30" s="43"/>
    </row>
    <row r="31" spans="1:3" ht="26.25" customHeight="1">
      <c r="A31" s="23" t="s">
        <v>1122</v>
      </c>
      <c r="B31" s="46">
        <v>3735</v>
      </c>
      <c r="C31" s="43"/>
    </row>
    <row r="32" spans="1:3" ht="26.25" customHeight="1">
      <c r="A32" s="23" t="s">
        <v>1123</v>
      </c>
      <c r="B32" s="46">
        <v>13</v>
      </c>
      <c r="C32" s="43"/>
    </row>
    <row r="33" spans="1:3" ht="26.25" customHeight="1">
      <c r="A33" s="23" t="s">
        <v>158</v>
      </c>
      <c r="B33" s="46"/>
      <c r="C33" s="43"/>
    </row>
  </sheetData>
  <mergeCells count="2">
    <mergeCell ref="A1:C1"/>
    <mergeCell ref="C5:C11"/>
  </mergeCells>
  <phoneticPr fontId="2" type="noConversion"/>
  <pageMargins left="0.70866141732283505" right="0.70866141732283505" top="0.74803149606299202" bottom="0.74803149606299202" header="0.31496062992126" footer="0.31496062992126"/>
  <pageSetup paperSize="9" orientation="portrai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election activeCell="F4" sqref="F4"/>
    </sheetView>
  </sheetViews>
  <sheetFormatPr defaultColWidth="6.75" defaultRowHeight="11.25"/>
  <cols>
    <col min="1" max="1" width="40.375" style="18" customWidth="1"/>
    <col min="2" max="2" width="35.25" style="18" customWidth="1"/>
    <col min="3" max="16384" width="6.75" style="18"/>
  </cols>
  <sheetData>
    <row r="2" spans="1:2" ht="51" customHeight="1">
      <c r="A2" s="601" t="s">
        <v>72</v>
      </c>
      <c r="B2" s="601"/>
    </row>
    <row r="3" spans="1:2" ht="39.75" customHeight="1">
      <c r="A3" s="19"/>
      <c r="B3" s="20" t="s">
        <v>210</v>
      </c>
    </row>
    <row r="4" spans="1:2" ht="39.75" customHeight="1">
      <c r="A4" s="21" t="s">
        <v>1124</v>
      </c>
      <c r="B4" s="21" t="s">
        <v>339</v>
      </c>
    </row>
    <row r="5" spans="1:2" ht="39.75" customHeight="1">
      <c r="A5" s="22" t="s">
        <v>1125</v>
      </c>
      <c r="B5" s="23">
        <v>16384</v>
      </c>
    </row>
    <row r="6" spans="1:2" ht="39.75" customHeight="1">
      <c r="A6" s="22" t="s">
        <v>1126</v>
      </c>
      <c r="B6" s="23">
        <v>4693</v>
      </c>
    </row>
    <row r="7" spans="1:2" ht="39.75" customHeight="1">
      <c r="A7" s="22" t="s">
        <v>1127</v>
      </c>
      <c r="B7" s="23">
        <v>14949</v>
      </c>
    </row>
    <row r="8" spans="1:2" ht="39.75" customHeight="1">
      <c r="A8" s="22" t="s">
        <v>1128</v>
      </c>
      <c r="B8" s="23">
        <v>2471</v>
      </c>
    </row>
  </sheetData>
  <mergeCells count="1">
    <mergeCell ref="A2:B2"/>
  </mergeCells>
  <phoneticPr fontId="2" type="noConversion"/>
  <pageMargins left="0.69930555555555596" right="0.69930555555555596"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sqref="A1:B1"/>
    </sheetView>
  </sheetViews>
  <sheetFormatPr defaultColWidth="6.75" defaultRowHeight="11.25"/>
  <cols>
    <col min="1" max="1" width="42.75" style="18" customWidth="1"/>
    <col min="2" max="2" width="34.625" style="18" customWidth="1"/>
    <col min="3" max="16384" width="6.75" style="18"/>
  </cols>
  <sheetData>
    <row r="1" spans="1:2" ht="117.75" customHeight="1">
      <c r="A1" s="602" t="s">
        <v>74</v>
      </c>
      <c r="B1" s="602"/>
    </row>
    <row r="2" spans="1:2" ht="43.5" customHeight="1">
      <c r="A2" s="19"/>
      <c r="B2" s="20" t="s">
        <v>210</v>
      </c>
    </row>
    <row r="3" spans="1:2" ht="43.5" customHeight="1">
      <c r="A3" s="21" t="s">
        <v>1124</v>
      </c>
      <c r="B3" s="21" t="s">
        <v>339</v>
      </c>
    </row>
    <row r="4" spans="1:2" ht="43.5" customHeight="1">
      <c r="A4" s="22" t="s">
        <v>1125</v>
      </c>
      <c r="B4" s="23">
        <v>20241</v>
      </c>
    </row>
    <row r="5" spans="1:2" ht="43.5" customHeight="1">
      <c r="A5" s="22" t="s">
        <v>1126</v>
      </c>
      <c r="B5" s="23">
        <v>13669</v>
      </c>
    </row>
    <row r="6" spans="1:2" ht="43.5" customHeight="1">
      <c r="A6" s="22" t="s">
        <v>1127</v>
      </c>
      <c r="B6" s="23">
        <v>4688</v>
      </c>
    </row>
    <row r="7" spans="1:2" ht="43.5" customHeight="1">
      <c r="A7" s="22" t="s">
        <v>1128</v>
      </c>
      <c r="B7" s="23">
        <v>1689</v>
      </c>
    </row>
  </sheetData>
  <mergeCells count="1">
    <mergeCell ref="A1:B1"/>
  </mergeCells>
  <phoneticPr fontId="2" type="noConversion"/>
  <pageMargins left="0.69930555555555596" right="0.69930555555555596"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30"/>
  <sheetViews>
    <sheetView topLeftCell="A13" workbookViewId="0">
      <selection activeCell="A27" sqref="A27:B30"/>
    </sheetView>
  </sheetViews>
  <sheetFormatPr defaultColWidth="9" defaultRowHeight="14.25"/>
  <cols>
    <col min="1" max="1" width="53.25" style="24" customWidth="1"/>
    <col min="2" max="2" width="27.375" style="24" customWidth="1"/>
    <col min="3" max="16382" width="9" style="24"/>
    <col min="16383" max="16384" width="9" style="18"/>
  </cols>
  <sheetData>
    <row r="1" spans="1:2" ht="45" customHeight="1">
      <c r="A1" s="25" t="s">
        <v>76</v>
      </c>
      <c r="B1" s="26"/>
    </row>
    <row r="2" spans="1:2" ht="24" customHeight="1">
      <c r="B2" s="27" t="s">
        <v>210</v>
      </c>
    </row>
    <row r="3" spans="1:2" ht="45" customHeight="1">
      <c r="A3" s="28" t="s">
        <v>854</v>
      </c>
      <c r="B3" s="28" t="s">
        <v>366</v>
      </c>
    </row>
    <row r="4" spans="1:2" ht="23.1" customHeight="1">
      <c r="A4" s="29" t="s">
        <v>925</v>
      </c>
      <c r="B4" s="30"/>
    </row>
    <row r="5" spans="1:2" ht="23.1" customHeight="1">
      <c r="A5" s="31" t="s">
        <v>900</v>
      </c>
      <c r="B5" s="30"/>
    </row>
    <row r="6" spans="1:2" ht="23.1" customHeight="1">
      <c r="A6" s="32" t="s">
        <v>926</v>
      </c>
      <c r="B6" s="30"/>
    </row>
    <row r="7" spans="1:2" ht="23.1" customHeight="1">
      <c r="A7" s="32" t="s">
        <v>927</v>
      </c>
      <c r="B7" s="30"/>
    </row>
    <row r="8" spans="1:2" ht="23.1" customHeight="1">
      <c r="A8" s="32" t="s">
        <v>928</v>
      </c>
      <c r="B8" s="30"/>
    </row>
    <row r="9" spans="1:2" ht="23.1" customHeight="1">
      <c r="A9" s="32" t="s">
        <v>929</v>
      </c>
      <c r="B9" s="30"/>
    </row>
    <row r="10" spans="1:2" ht="23.1" customHeight="1">
      <c r="A10" s="32" t="s">
        <v>930</v>
      </c>
      <c r="B10" s="30"/>
    </row>
    <row r="11" spans="1:2" ht="23.1" customHeight="1">
      <c r="A11" s="32" t="s">
        <v>931</v>
      </c>
      <c r="B11" s="30"/>
    </row>
    <row r="12" spans="1:2" ht="23.1" customHeight="1">
      <c r="A12" s="33" t="s">
        <v>932</v>
      </c>
      <c r="B12" s="30"/>
    </row>
    <row r="13" spans="1:2" ht="23.1" customHeight="1">
      <c r="A13" s="32" t="s">
        <v>933</v>
      </c>
      <c r="B13" s="30"/>
    </row>
    <row r="14" spans="1:2" ht="23.1" customHeight="1">
      <c r="A14" s="31" t="s">
        <v>901</v>
      </c>
      <c r="B14" s="30"/>
    </row>
    <row r="15" spans="1:2" ht="23.1" customHeight="1">
      <c r="A15" s="32" t="s">
        <v>934</v>
      </c>
      <c r="B15" s="30"/>
    </row>
    <row r="16" spans="1:2" ht="23.1" customHeight="1">
      <c r="A16" s="31" t="s">
        <v>902</v>
      </c>
      <c r="B16" s="30"/>
    </row>
    <row r="17" spans="1:2" ht="23.1" customHeight="1">
      <c r="A17" s="31" t="s">
        <v>903</v>
      </c>
      <c r="B17" s="30"/>
    </row>
    <row r="18" spans="1:2" ht="23.1" customHeight="1">
      <c r="A18" s="33" t="s">
        <v>935</v>
      </c>
      <c r="B18" s="30"/>
    </row>
    <row r="19" spans="1:2" ht="23.1" customHeight="1">
      <c r="A19" s="32" t="s">
        <v>936</v>
      </c>
      <c r="B19" s="34"/>
    </row>
    <row r="20" spans="1:2" ht="23.1" customHeight="1">
      <c r="A20" s="32" t="s">
        <v>937</v>
      </c>
      <c r="B20" s="34"/>
    </row>
    <row r="21" spans="1:2" ht="23.1" customHeight="1">
      <c r="A21" s="35" t="s">
        <v>938</v>
      </c>
      <c r="B21" s="34"/>
    </row>
    <row r="22" spans="1:2" ht="23.1" customHeight="1">
      <c r="A22" s="36" t="s">
        <v>939</v>
      </c>
      <c r="B22" s="34"/>
    </row>
    <row r="23" spans="1:2" ht="23.1" customHeight="1">
      <c r="A23" s="32" t="s">
        <v>940</v>
      </c>
      <c r="B23" s="34"/>
    </row>
    <row r="24" spans="1:2" ht="23.1" customHeight="1">
      <c r="A24" s="35" t="s">
        <v>941</v>
      </c>
      <c r="B24" s="34"/>
    </row>
    <row r="25" spans="1:2" ht="23.1" customHeight="1">
      <c r="A25" s="32" t="s">
        <v>913</v>
      </c>
      <c r="B25" s="34"/>
    </row>
    <row r="26" spans="1:2" ht="23.1" customHeight="1">
      <c r="A26" s="37" t="s">
        <v>1129</v>
      </c>
      <c r="B26" s="30">
        <v>0</v>
      </c>
    </row>
    <row r="27" spans="1:2" ht="21" customHeight="1">
      <c r="A27" s="607" t="s">
        <v>1246</v>
      </c>
      <c r="B27" s="607"/>
    </row>
    <row r="28" spans="1:2">
      <c r="A28" s="608"/>
      <c r="B28" s="608"/>
    </row>
    <row r="29" spans="1:2">
      <c r="A29" s="608"/>
      <c r="B29" s="608"/>
    </row>
    <row r="30" spans="1:2">
      <c r="A30" s="608"/>
      <c r="B30" s="608"/>
    </row>
  </sheetData>
  <mergeCells count="1">
    <mergeCell ref="A27:B30"/>
  </mergeCells>
  <phoneticPr fontId="2" type="noConversion"/>
  <pageMargins left="0.74803149606299202" right="0.74803149606299202" top="0.98425196850393704" bottom="0.98425196850393704" header="0.511811023622047" footer="0.511811023622047"/>
  <pageSetup paperSize="9" orientation="portrait"/>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O49"/>
  <sheetViews>
    <sheetView showZeros="0" workbookViewId="0">
      <pane xSplit="1" ySplit="3" topLeftCell="B4" activePane="bottomRight" state="frozen"/>
      <selection pane="topRight"/>
      <selection pane="bottomLeft"/>
      <selection pane="bottomRight" activeCell="A44" sqref="A44:F44"/>
    </sheetView>
  </sheetViews>
  <sheetFormatPr defaultColWidth="9" defaultRowHeight="15.75"/>
  <cols>
    <col min="1" max="1" width="28.625" style="489" customWidth="1"/>
    <col min="2" max="4" width="10.625" style="489" customWidth="1"/>
    <col min="5" max="5" width="9.375" style="490" hidden="1" customWidth="1"/>
    <col min="6" max="6" width="11.125" style="489" customWidth="1"/>
    <col min="7" max="7" width="5.125" style="489" hidden="1" customWidth="1"/>
    <col min="8" max="8" width="9" style="489"/>
    <col min="9" max="9" width="15.5" style="489" hidden="1" customWidth="1"/>
    <col min="10" max="11" width="9" style="489" hidden="1" customWidth="1"/>
    <col min="12" max="13" width="12.625" style="489" hidden="1" customWidth="1"/>
    <col min="14" max="14" width="13.75" style="489" hidden="1" customWidth="1"/>
    <col min="15" max="249" width="9" style="489"/>
  </cols>
  <sheetData>
    <row r="1" spans="1:46" s="486" customFormat="1" ht="39.75" customHeight="1">
      <c r="A1" s="298" t="s">
        <v>6</v>
      </c>
      <c r="B1" s="491"/>
      <c r="C1" s="491"/>
      <c r="D1" s="491"/>
      <c r="E1" s="492"/>
      <c r="F1" s="493"/>
      <c r="N1" s="489"/>
    </row>
    <row r="2" spans="1:46" s="487" customFormat="1" ht="15" customHeight="1">
      <c r="A2" s="494"/>
      <c r="B2" s="494"/>
      <c r="C2" s="494"/>
      <c r="D2" s="494"/>
      <c r="E2" s="495"/>
      <c r="F2" s="496" t="s">
        <v>160</v>
      </c>
      <c r="M2" s="487">
        <f>+(C5+C6)/(E5+E6)-1</f>
        <v>1.624883936861643E-2</v>
      </c>
      <c r="N2" s="486"/>
    </row>
    <row r="3" spans="1:46" s="487" customFormat="1" ht="30" customHeight="1">
      <c r="A3" s="338" t="s">
        <v>82</v>
      </c>
      <c r="B3" s="442" t="s">
        <v>161</v>
      </c>
      <c r="C3" s="497" t="s">
        <v>84</v>
      </c>
      <c r="D3" s="497" t="s">
        <v>85</v>
      </c>
      <c r="E3" s="445" t="s">
        <v>86</v>
      </c>
      <c r="F3" s="498" t="s">
        <v>87</v>
      </c>
      <c r="L3" s="464" t="s">
        <v>88</v>
      </c>
      <c r="M3" s="464" t="s">
        <v>162</v>
      </c>
      <c r="N3" s="464" t="s">
        <v>90</v>
      </c>
    </row>
    <row r="4" spans="1:46" s="488" customFormat="1" ht="14.45" customHeight="1">
      <c r="A4" s="337" t="s">
        <v>92</v>
      </c>
      <c r="B4" s="339">
        <f>SUM(B5:B19)</f>
        <v>79263</v>
      </c>
      <c r="C4" s="338">
        <f>SUM(C5:C19)</f>
        <v>72435</v>
      </c>
      <c r="D4" s="499">
        <f t="shared" ref="D4:D5" si="0">C4/B4*100</f>
        <v>91.385640210438666</v>
      </c>
      <c r="E4" s="338">
        <f>SUM(E5:E19)</f>
        <v>68055</v>
      </c>
      <c r="F4" s="500">
        <f t="shared" ref="F4:F7" si="1">+(C4-E4)/E4*100</f>
        <v>6.435970905884945</v>
      </c>
      <c r="G4" s="488">
        <f t="shared" ref="G4" si="2">+C4-E4</f>
        <v>4380</v>
      </c>
      <c r="L4" s="504">
        <f t="shared" ref="L4" si="3">+M4+N4</f>
        <v>68875</v>
      </c>
      <c r="M4" s="338">
        <f>SUM(M5:M19)</f>
        <v>68875</v>
      </c>
      <c r="N4" s="338"/>
    </row>
    <row r="5" spans="1:46" s="488" customFormat="1" ht="14.45" customHeight="1">
      <c r="A5" s="337" t="s">
        <v>93</v>
      </c>
      <c r="B5" s="342">
        <v>20338</v>
      </c>
      <c r="C5" s="342">
        <v>16709</v>
      </c>
      <c r="D5" s="499">
        <f t="shared" si="0"/>
        <v>82.156554233454614</v>
      </c>
      <c r="E5" s="342">
        <v>17105</v>
      </c>
      <c r="F5" s="500">
        <f t="shared" si="1"/>
        <v>-2.315112540192926</v>
      </c>
      <c r="G5" s="488">
        <f t="shared" ref="G5:G12" si="4">+C5-E5</f>
        <v>-396</v>
      </c>
      <c r="I5" s="488">
        <f>+E5-1629</f>
        <v>15476</v>
      </c>
      <c r="J5" s="488">
        <f>+I5/0.1875</f>
        <v>82538.666666666672</v>
      </c>
      <c r="L5" s="504">
        <f t="shared" ref="L5:L18" si="5">+M5+N5</f>
        <v>17042</v>
      </c>
      <c r="M5" s="342">
        <v>17042</v>
      </c>
      <c r="N5" s="342"/>
      <c r="O5" s="505"/>
      <c r="P5" s="505"/>
      <c r="Q5" s="505"/>
      <c r="R5" s="505"/>
      <c r="S5" s="505"/>
      <c r="T5" s="505"/>
      <c r="U5" s="505"/>
      <c r="V5" s="505"/>
      <c r="X5" s="505"/>
      <c r="Y5" s="505"/>
      <c r="Z5" s="505"/>
      <c r="AA5" s="505"/>
      <c r="AB5" s="505"/>
      <c r="AC5" s="505"/>
      <c r="AE5" s="505"/>
      <c r="AF5" s="505"/>
      <c r="AG5" s="505"/>
      <c r="AH5" s="505"/>
      <c r="AI5" s="505"/>
      <c r="AJ5" s="505"/>
      <c r="AK5" s="505"/>
      <c r="AL5" s="505"/>
      <c r="AM5" s="505"/>
      <c r="AN5" s="505"/>
      <c r="AO5" s="505"/>
      <c r="AP5" s="505"/>
      <c r="AQ5" s="505"/>
      <c r="AS5" s="505"/>
      <c r="AT5" s="505"/>
    </row>
    <row r="6" spans="1:46" s="488" customFormat="1" ht="14.45" customHeight="1">
      <c r="A6" s="337" t="s">
        <v>94</v>
      </c>
      <c r="B6" s="342">
        <v>0</v>
      </c>
      <c r="C6" s="342">
        <v>803</v>
      </c>
      <c r="D6" s="499"/>
      <c r="E6" s="342">
        <v>127</v>
      </c>
      <c r="F6" s="500">
        <f t="shared" si="1"/>
        <v>532.28346456692918</v>
      </c>
      <c r="G6" s="488">
        <f t="shared" si="4"/>
        <v>676</v>
      </c>
      <c r="I6" s="488">
        <f>1629+14233</f>
        <v>15862</v>
      </c>
      <c r="J6" s="488">
        <f>+I6/0.75</f>
        <v>21149.333333333332</v>
      </c>
      <c r="L6" s="504">
        <f t="shared" si="5"/>
        <v>133</v>
      </c>
      <c r="M6" s="342">
        <v>133</v>
      </c>
      <c r="N6" s="342"/>
      <c r="O6" s="505"/>
      <c r="U6" s="505"/>
      <c r="V6" s="505"/>
      <c r="X6" s="505"/>
      <c r="Y6" s="505"/>
      <c r="Z6" s="505"/>
      <c r="AA6" s="505"/>
      <c r="AC6" s="505"/>
      <c r="AE6" s="505"/>
      <c r="AF6" s="505"/>
      <c r="AG6" s="505"/>
      <c r="AH6" s="505"/>
      <c r="AI6" s="505"/>
      <c r="AK6" s="505"/>
      <c r="AL6" s="505"/>
      <c r="AM6" s="505"/>
      <c r="AN6" s="505"/>
      <c r="AO6" s="505"/>
      <c r="AP6" s="505"/>
      <c r="AT6" s="505"/>
    </row>
    <row r="7" spans="1:46" s="488" customFormat="1" ht="14.45" customHeight="1">
      <c r="A7" s="337" t="s">
        <v>95</v>
      </c>
      <c r="B7" s="342">
        <v>6095</v>
      </c>
      <c r="C7" s="342">
        <v>5969</v>
      </c>
      <c r="D7" s="499">
        <f t="shared" ref="D7" si="6">C7/B7*100</f>
        <v>97.932731747333875</v>
      </c>
      <c r="E7" s="342">
        <v>5557</v>
      </c>
      <c r="F7" s="500">
        <f t="shared" si="1"/>
        <v>7.4140723411912894</v>
      </c>
      <c r="G7" s="488">
        <f t="shared" si="4"/>
        <v>412</v>
      </c>
      <c r="J7" s="488">
        <f>SUM(J5:J6)</f>
        <v>103688</v>
      </c>
      <c r="L7" s="504">
        <f t="shared" si="5"/>
        <v>5556</v>
      </c>
      <c r="M7" s="342">
        <v>5556</v>
      </c>
      <c r="N7" s="342"/>
    </row>
    <row r="8" spans="1:46" s="488" customFormat="1" ht="14.45" hidden="1" customHeight="1">
      <c r="A8" s="337" t="s">
        <v>96</v>
      </c>
      <c r="B8" s="342">
        <v>0</v>
      </c>
      <c r="C8" s="342"/>
      <c r="D8" s="499"/>
      <c r="E8" s="342">
        <v>0</v>
      </c>
      <c r="F8" s="500"/>
      <c r="G8" s="488">
        <f t="shared" si="4"/>
        <v>0</v>
      </c>
      <c r="L8" s="504">
        <f t="shared" si="5"/>
        <v>0</v>
      </c>
      <c r="M8" s="342"/>
      <c r="N8" s="342"/>
    </row>
    <row r="9" spans="1:46" s="488" customFormat="1" ht="14.45" customHeight="1">
      <c r="A9" s="337" t="s">
        <v>97</v>
      </c>
      <c r="B9" s="342">
        <v>1421</v>
      </c>
      <c r="C9" s="342">
        <v>1134</v>
      </c>
      <c r="D9" s="499">
        <f t="shared" ref="D9" si="7">C9/B9*100</f>
        <v>79.802955665024626</v>
      </c>
      <c r="E9" s="342">
        <v>1200</v>
      </c>
      <c r="F9" s="500">
        <f t="shared" ref="F9" si="8">+(C9-E9)/E9*100</f>
        <v>-5.5</v>
      </c>
      <c r="G9" s="488">
        <f t="shared" si="4"/>
        <v>-66</v>
      </c>
      <c r="I9" s="488">
        <f>+C5/0.375</f>
        <v>44557.333333333336</v>
      </c>
      <c r="L9" s="504">
        <f t="shared" si="5"/>
        <v>1199</v>
      </c>
      <c r="M9" s="342">
        <v>1199</v>
      </c>
      <c r="N9" s="342"/>
    </row>
    <row r="10" spans="1:46" s="488" customFormat="1" ht="14.45" customHeight="1">
      <c r="A10" s="337" t="s">
        <v>98</v>
      </c>
      <c r="B10" s="342">
        <v>0</v>
      </c>
      <c r="C10" s="342"/>
      <c r="D10" s="499"/>
      <c r="E10" s="342">
        <v>0</v>
      </c>
      <c r="F10" s="500"/>
      <c r="G10" s="488">
        <f t="shared" si="4"/>
        <v>0</v>
      </c>
      <c r="I10" s="488">
        <f>+C6/0.75</f>
        <v>1070.6666666666667</v>
      </c>
      <c r="L10" s="504">
        <f t="shared" si="5"/>
        <v>0</v>
      </c>
      <c r="M10" s="342"/>
      <c r="N10" s="342"/>
    </row>
    <row r="11" spans="1:46" s="488" customFormat="1" ht="14.45" customHeight="1">
      <c r="A11" s="337" t="s">
        <v>99</v>
      </c>
      <c r="B11" s="342">
        <v>14850</v>
      </c>
      <c r="C11" s="342">
        <v>15363</v>
      </c>
      <c r="D11" s="499">
        <f t="shared" ref="D11:D14" si="9">C11/B11*100</f>
        <v>103.45454545454544</v>
      </c>
      <c r="E11" s="342">
        <v>13662</v>
      </c>
      <c r="F11" s="500">
        <f t="shared" ref="F11:F15" si="10">+(C11-E11)/E11*100</f>
        <v>12.450592885375494</v>
      </c>
      <c r="G11" s="488">
        <f t="shared" si="4"/>
        <v>1701</v>
      </c>
      <c r="I11" s="488">
        <f>SUM(I9:I10)</f>
        <v>45628</v>
      </c>
      <c r="L11" s="504">
        <f t="shared" si="5"/>
        <v>13996</v>
      </c>
      <c r="M11" s="342">
        <v>13996</v>
      </c>
      <c r="N11" s="342"/>
    </row>
    <row r="12" spans="1:46" s="488" customFormat="1" ht="14.45" customHeight="1">
      <c r="A12" s="337" t="s">
        <v>100</v>
      </c>
      <c r="B12" s="342">
        <v>1106</v>
      </c>
      <c r="C12" s="342">
        <v>1318</v>
      </c>
      <c r="D12" s="499">
        <f t="shared" si="9"/>
        <v>119.16817359855334</v>
      </c>
      <c r="E12" s="342">
        <v>959</v>
      </c>
      <c r="F12" s="500">
        <f t="shared" si="10"/>
        <v>37.434827945776853</v>
      </c>
      <c r="G12" s="488">
        <f t="shared" si="4"/>
        <v>359</v>
      </c>
      <c r="I12" s="488">
        <f>+I11/J7</f>
        <v>0.44005092199675949</v>
      </c>
      <c r="L12" s="504">
        <f t="shared" si="5"/>
        <v>960</v>
      </c>
      <c r="M12" s="342">
        <v>960</v>
      </c>
      <c r="N12" s="342"/>
    </row>
    <row r="13" spans="1:46" s="488" customFormat="1" ht="14.45" customHeight="1">
      <c r="A13" s="337" t="s">
        <v>101</v>
      </c>
      <c r="B13" s="342">
        <v>811</v>
      </c>
      <c r="C13" s="342">
        <v>814</v>
      </c>
      <c r="D13" s="499">
        <f t="shared" si="9"/>
        <v>100.36991368680641</v>
      </c>
      <c r="E13" s="342">
        <v>668</v>
      </c>
      <c r="F13" s="500">
        <f t="shared" si="10"/>
        <v>21.856287425149702</v>
      </c>
      <c r="I13" s="488">
        <f>+I12-1</f>
        <v>-0.55994907800324056</v>
      </c>
      <c r="L13" s="504">
        <f t="shared" si="5"/>
        <v>668</v>
      </c>
      <c r="M13" s="342">
        <v>668</v>
      </c>
      <c r="N13" s="342"/>
    </row>
    <row r="14" spans="1:46" s="488" customFormat="1" ht="14.45" customHeight="1">
      <c r="A14" s="337" t="s">
        <v>102</v>
      </c>
      <c r="B14" s="342">
        <v>1646</v>
      </c>
      <c r="C14" s="342">
        <v>1495</v>
      </c>
      <c r="D14" s="499">
        <f t="shared" si="9"/>
        <v>90.826245443499388</v>
      </c>
      <c r="E14" s="342">
        <v>1467</v>
      </c>
      <c r="F14" s="500">
        <f t="shared" si="10"/>
        <v>1.9086571233810499</v>
      </c>
      <c r="L14" s="504">
        <f t="shared" si="5"/>
        <v>1350</v>
      </c>
      <c r="M14" s="342">
        <v>1350</v>
      </c>
      <c r="N14" s="342"/>
    </row>
    <row r="15" spans="1:46" s="488" customFormat="1" ht="14.45" customHeight="1">
      <c r="A15" s="337" t="s">
        <v>103</v>
      </c>
      <c r="B15" s="342">
        <v>1084</v>
      </c>
      <c r="C15" s="342">
        <v>43</v>
      </c>
      <c r="D15" s="499"/>
      <c r="E15" s="342">
        <v>955</v>
      </c>
      <c r="F15" s="500">
        <f t="shared" si="10"/>
        <v>-95.497382198952891</v>
      </c>
      <c r="L15" s="504">
        <f t="shared" si="5"/>
        <v>955</v>
      </c>
      <c r="M15" s="342">
        <v>955</v>
      </c>
      <c r="N15" s="342"/>
    </row>
    <row r="16" spans="1:46" s="488" customFormat="1" ht="14.45" customHeight="1">
      <c r="A16" s="337" t="s">
        <v>104</v>
      </c>
      <c r="B16" s="342">
        <v>0</v>
      </c>
      <c r="C16" s="342"/>
      <c r="D16" s="499"/>
      <c r="E16" s="342">
        <v>0</v>
      </c>
      <c r="F16" s="500"/>
      <c r="L16" s="504">
        <f t="shared" si="5"/>
        <v>0</v>
      </c>
      <c r="M16" s="342"/>
      <c r="N16" s="342"/>
    </row>
    <row r="17" spans="1:14" s="488" customFormat="1" ht="14.45" customHeight="1">
      <c r="A17" s="337" t="s">
        <v>105</v>
      </c>
      <c r="B17" s="342">
        <v>1938</v>
      </c>
      <c r="C17" s="342">
        <v>1495</v>
      </c>
      <c r="D17" s="499">
        <f>C17/B17*100</f>
        <v>77.141382868937043</v>
      </c>
      <c r="E17" s="342">
        <v>1627</v>
      </c>
      <c r="F17" s="500">
        <f>+(C17-E17)/E17*100</f>
        <v>-8.1130915795943448</v>
      </c>
      <c r="G17" s="488">
        <f>+C17-E17</f>
        <v>-132</v>
      </c>
      <c r="L17" s="504">
        <f t="shared" si="5"/>
        <v>1627</v>
      </c>
      <c r="M17" s="342">
        <v>1627</v>
      </c>
      <c r="N17" s="342"/>
    </row>
    <row r="18" spans="1:14" s="488" customFormat="1" ht="14.45" customHeight="1">
      <c r="A18" s="337" t="s">
        <v>106</v>
      </c>
      <c r="B18" s="342">
        <v>29974</v>
      </c>
      <c r="C18" s="342">
        <v>26874</v>
      </c>
      <c r="D18" s="499">
        <f>C18/B18*100</f>
        <v>89.657703342897179</v>
      </c>
      <c r="E18" s="342">
        <v>24728</v>
      </c>
      <c r="F18" s="500">
        <f>+(C18-E18)/E18*100</f>
        <v>8.6784212229052073</v>
      </c>
      <c r="G18" s="488">
        <f>+C18-E18</f>
        <v>2146</v>
      </c>
      <c r="L18" s="504">
        <f t="shared" si="5"/>
        <v>24979</v>
      </c>
      <c r="M18" s="342">
        <v>25389</v>
      </c>
      <c r="N18" s="342">
        <v>-410</v>
      </c>
    </row>
    <row r="19" spans="1:14" s="488" customFormat="1" ht="14.45" customHeight="1">
      <c r="A19" s="343" t="s">
        <v>163</v>
      </c>
      <c r="B19" s="342"/>
      <c r="C19" s="342">
        <v>418</v>
      </c>
      <c r="D19" s="499"/>
      <c r="E19" s="342"/>
      <c r="F19" s="500"/>
      <c r="L19" s="504"/>
      <c r="M19" s="342"/>
      <c r="N19" s="342"/>
    </row>
    <row r="20" spans="1:14" s="488" customFormat="1" ht="14.45" customHeight="1">
      <c r="A20" s="337" t="s">
        <v>108</v>
      </c>
      <c r="B20" s="339">
        <f t="shared" ref="B20:C20" si="11">SUM(B21:B28)</f>
        <v>70166</v>
      </c>
      <c r="C20" s="342">
        <f t="shared" si="11"/>
        <v>70173</v>
      </c>
      <c r="D20" s="499">
        <f t="shared" ref="D20:D23" si="12">C20/B20*100</f>
        <v>100.00997634181799</v>
      </c>
      <c r="E20" s="342">
        <f>SUM(E21:E28)</f>
        <v>72318</v>
      </c>
      <c r="F20" s="500">
        <f t="shared" ref="F20:F23" si="13">+(C20-E20)/E20*100</f>
        <v>-2.9660665394507593</v>
      </c>
      <c r="L20" s="504">
        <f t="shared" ref="L20" si="14">+M20+N20</f>
        <v>69756</v>
      </c>
      <c r="M20" s="342">
        <f>SUM(M21:M28)</f>
        <v>69756</v>
      </c>
      <c r="N20" s="342"/>
    </row>
    <row r="21" spans="1:14" s="488" customFormat="1" ht="14.45" customHeight="1">
      <c r="A21" s="337" t="s">
        <v>109</v>
      </c>
      <c r="B21" s="342">
        <v>8397</v>
      </c>
      <c r="C21" s="342">
        <v>7321</v>
      </c>
      <c r="D21" s="499">
        <f t="shared" si="12"/>
        <v>87.185899726092657</v>
      </c>
      <c r="E21" s="342">
        <v>7907</v>
      </c>
      <c r="F21" s="500">
        <f t="shared" si="13"/>
        <v>-7.4111546730744911</v>
      </c>
      <c r="L21" s="504">
        <f t="shared" ref="L21:L40" si="15">+M21+N21</f>
        <v>8259</v>
      </c>
      <c r="M21" s="342">
        <v>7849</v>
      </c>
      <c r="N21" s="342">
        <v>410</v>
      </c>
    </row>
    <row r="22" spans="1:14" s="488" customFormat="1" ht="14.45" customHeight="1">
      <c r="A22" s="337" t="s">
        <v>110</v>
      </c>
      <c r="B22" s="342">
        <v>14424</v>
      </c>
      <c r="C22" s="342">
        <v>14902</v>
      </c>
      <c r="D22" s="499">
        <f t="shared" si="12"/>
        <v>103.31392124237382</v>
      </c>
      <c r="E22" s="342">
        <v>14503</v>
      </c>
      <c r="F22" s="500">
        <f t="shared" si="13"/>
        <v>2.7511549334620424</v>
      </c>
      <c r="L22" s="504">
        <f t="shared" si="15"/>
        <v>17363</v>
      </c>
      <c r="M22" s="342">
        <v>17363</v>
      </c>
      <c r="N22" s="342"/>
    </row>
    <row r="23" spans="1:14" s="488" customFormat="1" ht="14.45" customHeight="1">
      <c r="A23" s="337" t="s">
        <v>111</v>
      </c>
      <c r="B23" s="342">
        <v>20761</v>
      </c>
      <c r="C23" s="342">
        <v>24010</v>
      </c>
      <c r="D23" s="499">
        <f t="shared" si="12"/>
        <v>115.64953518616636</v>
      </c>
      <c r="E23" s="342">
        <v>18633</v>
      </c>
      <c r="F23" s="500">
        <f t="shared" si="13"/>
        <v>28.857403531369073</v>
      </c>
      <c r="L23" s="504">
        <f t="shared" si="15"/>
        <v>17164</v>
      </c>
      <c r="M23" s="342">
        <v>17164</v>
      </c>
      <c r="N23" s="342"/>
    </row>
    <row r="24" spans="1:14" s="488" customFormat="1" ht="14.45" customHeight="1">
      <c r="A24" s="337" t="s">
        <v>112</v>
      </c>
      <c r="B24" s="342"/>
      <c r="C24" s="342"/>
      <c r="D24" s="499"/>
      <c r="E24" s="342">
        <v>0</v>
      </c>
      <c r="F24" s="500"/>
      <c r="L24" s="504">
        <f t="shared" si="15"/>
        <v>0</v>
      </c>
      <c r="M24" s="342"/>
      <c r="N24" s="342"/>
    </row>
    <row r="25" spans="1:14" s="488" customFormat="1" ht="14.45" customHeight="1">
      <c r="A25" s="337" t="s">
        <v>113</v>
      </c>
      <c r="B25" s="342">
        <v>15184</v>
      </c>
      <c r="C25" s="342">
        <v>12211</v>
      </c>
      <c r="D25" s="499">
        <f t="shared" ref="D25" si="16">C25/B25*100</f>
        <v>80.420179135932557</v>
      </c>
      <c r="E25" s="342">
        <v>18985</v>
      </c>
      <c r="F25" s="500">
        <f t="shared" ref="F25" si="17">+(C25-E25)/E25*100</f>
        <v>-35.680800632077961</v>
      </c>
      <c r="L25" s="504">
        <f t="shared" si="15"/>
        <v>17592</v>
      </c>
      <c r="M25" s="342">
        <v>17592</v>
      </c>
      <c r="N25" s="342"/>
    </row>
    <row r="26" spans="1:14" s="488" customFormat="1" ht="14.45" customHeight="1">
      <c r="A26" s="337" t="s">
        <v>114</v>
      </c>
      <c r="B26" s="342"/>
      <c r="C26" s="342">
        <v>8</v>
      </c>
      <c r="D26" s="499"/>
      <c r="E26" s="342">
        <v>163</v>
      </c>
      <c r="F26" s="500">
        <f t="shared" ref="F26:F38" si="18">+(C26-E26)/E26*100</f>
        <v>-95.092024539877301</v>
      </c>
      <c r="G26" s="488">
        <f t="shared" ref="G26:G31" si="19">+C26-E26</f>
        <v>-155</v>
      </c>
      <c r="L26" s="504">
        <f t="shared" si="15"/>
        <v>150</v>
      </c>
      <c r="M26" s="342">
        <v>150</v>
      </c>
      <c r="N26" s="342"/>
    </row>
    <row r="27" spans="1:14" s="488" customFormat="1" ht="14.45" customHeight="1">
      <c r="A27" s="337" t="s">
        <v>115</v>
      </c>
      <c r="B27" s="342">
        <v>9100</v>
      </c>
      <c r="C27" s="342">
        <v>11721</v>
      </c>
      <c r="D27" s="499">
        <f t="shared" ref="D27:D31" si="20">C27/B27*100</f>
        <v>128.80219780219778</v>
      </c>
      <c r="E27" s="342">
        <v>9336</v>
      </c>
      <c r="F27" s="500">
        <f t="shared" si="18"/>
        <v>25.546272493573262</v>
      </c>
      <c r="G27" s="488">
        <f t="shared" si="19"/>
        <v>2385</v>
      </c>
      <c r="J27" s="235"/>
      <c r="L27" s="504">
        <f t="shared" si="15"/>
        <v>6847</v>
      </c>
      <c r="M27" s="342">
        <v>6847</v>
      </c>
      <c r="N27" s="342"/>
    </row>
    <row r="28" spans="1:14" s="488" customFormat="1" ht="14.45" customHeight="1">
      <c r="A28" s="337" t="s">
        <v>116</v>
      </c>
      <c r="B28" s="342">
        <v>2300</v>
      </c>
      <c r="C28" s="342"/>
      <c r="D28" s="499">
        <f t="shared" si="20"/>
        <v>0</v>
      </c>
      <c r="E28" s="342">
        <v>2791</v>
      </c>
      <c r="F28" s="500">
        <f t="shared" si="18"/>
        <v>-100</v>
      </c>
      <c r="G28" s="488">
        <f t="shared" si="19"/>
        <v>-2791</v>
      </c>
      <c r="L28" s="504">
        <f t="shared" si="15"/>
        <v>2791</v>
      </c>
      <c r="M28" s="342">
        <v>2791</v>
      </c>
      <c r="N28" s="342"/>
    </row>
    <row r="29" spans="1:14" s="488" customFormat="1" ht="14.45" customHeight="1">
      <c r="A29" s="501" t="s">
        <v>117</v>
      </c>
      <c r="B29" s="339">
        <f t="shared" ref="B29:C29" si="21">+B4+B20</f>
        <v>149429</v>
      </c>
      <c r="C29" s="339">
        <f t="shared" si="21"/>
        <v>142608</v>
      </c>
      <c r="D29" s="499">
        <f t="shared" si="20"/>
        <v>95.435290338555433</v>
      </c>
      <c r="E29" s="339">
        <f>+E4+E20</f>
        <v>140373</v>
      </c>
      <c r="F29" s="500">
        <f t="shared" si="18"/>
        <v>1.5921865315979569</v>
      </c>
      <c r="G29" s="488">
        <f t="shared" si="19"/>
        <v>2235</v>
      </c>
      <c r="L29" s="504">
        <f t="shared" si="15"/>
        <v>138631</v>
      </c>
      <c r="M29" s="338">
        <f>+M4+M20</f>
        <v>138631</v>
      </c>
      <c r="N29" s="338"/>
    </row>
    <row r="30" spans="1:14" s="488" customFormat="1" ht="14.45" customHeight="1">
      <c r="A30" s="343" t="s">
        <v>118</v>
      </c>
      <c r="B30" s="339">
        <f t="shared" ref="B30:C30" si="22">SUM(B31:B34)</f>
        <v>98366</v>
      </c>
      <c r="C30" s="338">
        <f t="shared" si="22"/>
        <v>95974</v>
      </c>
      <c r="D30" s="499">
        <f t="shared" si="20"/>
        <v>97.568265457576814</v>
      </c>
      <c r="E30" s="338">
        <f>SUM(E31:E34)</f>
        <v>91602</v>
      </c>
      <c r="F30" s="500">
        <f t="shared" si="18"/>
        <v>4.7728215541145387</v>
      </c>
      <c r="G30" s="488">
        <f t="shared" si="19"/>
        <v>4372</v>
      </c>
      <c r="L30" s="504">
        <f t="shared" si="15"/>
        <v>91524</v>
      </c>
      <c r="M30" s="338">
        <f>SUM(M31:M34)</f>
        <v>91524</v>
      </c>
      <c r="N30" s="338"/>
    </row>
    <row r="31" spans="1:14" s="488" customFormat="1" ht="14.45" customHeight="1">
      <c r="A31" s="337" t="s">
        <v>119</v>
      </c>
      <c r="B31" s="339">
        <v>27117</v>
      </c>
      <c r="C31" s="342">
        <v>22278</v>
      </c>
      <c r="D31" s="499">
        <f t="shared" si="20"/>
        <v>82.155105653280231</v>
      </c>
      <c r="E31" s="342">
        <v>22806</v>
      </c>
      <c r="F31" s="500">
        <f t="shared" si="18"/>
        <v>-2.3151802157327017</v>
      </c>
      <c r="G31" s="488">
        <f t="shared" si="19"/>
        <v>-528</v>
      </c>
      <c r="L31" s="504">
        <f t="shared" si="15"/>
        <v>22723</v>
      </c>
      <c r="M31" s="342">
        <v>22723</v>
      </c>
      <c r="N31" s="342"/>
    </row>
    <row r="32" spans="1:14" s="488" customFormat="1" ht="14.45" customHeight="1">
      <c r="A32" s="343" t="s">
        <v>120</v>
      </c>
      <c r="B32" s="339"/>
      <c r="C32" s="345">
        <v>1071</v>
      </c>
      <c r="D32" s="499"/>
      <c r="E32" s="345">
        <v>170</v>
      </c>
      <c r="F32" s="500">
        <f t="shared" si="18"/>
        <v>530</v>
      </c>
      <c r="L32" s="504">
        <f t="shared" si="15"/>
        <v>177</v>
      </c>
      <c r="M32" s="345">
        <v>177</v>
      </c>
      <c r="N32" s="342"/>
    </row>
    <row r="33" spans="1:14" s="488" customFormat="1" ht="14.45" customHeight="1">
      <c r="A33" s="337" t="s">
        <v>121</v>
      </c>
      <c r="B33" s="339">
        <v>55143</v>
      </c>
      <c r="C33" s="345">
        <v>57403</v>
      </c>
      <c r="D33" s="499">
        <f t="shared" ref="D33:D36" si="23">C33/B33*100</f>
        <v>104.09843497814772</v>
      </c>
      <c r="E33" s="345">
        <v>54149</v>
      </c>
      <c r="F33" s="500">
        <f t="shared" si="18"/>
        <v>6.0093445862342794</v>
      </c>
      <c r="G33" s="488">
        <f>+C33-E33</f>
        <v>3254</v>
      </c>
      <c r="L33" s="504">
        <f t="shared" si="15"/>
        <v>54149</v>
      </c>
      <c r="M33" s="345">
        <v>54149</v>
      </c>
      <c r="N33" s="342"/>
    </row>
    <row r="34" spans="1:14" s="488" customFormat="1" ht="14.45" customHeight="1">
      <c r="A34" s="337" t="s">
        <v>122</v>
      </c>
      <c r="B34" s="339">
        <v>16106</v>
      </c>
      <c r="C34" s="345">
        <v>15222</v>
      </c>
      <c r="D34" s="499">
        <f t="shared" si="23"/>
        <v>94.51136222525767</v>
      </c>
      <c r="E34" s="345">
        <v>14477</v>
      </c>
      <c r="F34" s="500">
        <f t="shared" si="18"/>
        <v>5.1460938039649102</v>
      </c>
      <c r="L34" s="504">
        <f t="shared" si="15"/>
        <v>14475</v>
      </c>
      <c r="M34" s="345">
        <v>14475</v>
      </c>
      <c r="N34" s="342"/>
    </row>
    <row r="35" spans="1:14" s="488" customFormat="1" ht="14.45" customHeight="1">
      <c r="A35" s="343" t="s">
        <v>123</v>
      </c>
      <c r="B35" s="339">
        <f t="shared" ref="B35" si="24">SUM(B36:B40)</f>
        <v>10705</v>
      </c>
      <c r="C35" s="338">
        <f>SUM(C36:C41)</f>
        <v>9701</v>
      </c>
      <c r="D35" s="499">
        <f t="shared" si="23"/>
        <v>90.621205044371791</v>
      </c>
      <c r="E35" s="338">
        <f>SUM(E36:E41)</f>
        <v>9268</v>
      </c>
      <c r="F35" s="500">
        <f t="shared" si="18"/>
        <v>4.6719896417781612</v>
      </c>
      <c r="G35" s="488">
        <f>+C35-E35</f>
        <v>433</v>
      </c>
      <c r="L35" s="504">
        <f t="shared" si="15"/>
        <v>9199</v>
      </c>
      <c r="M35" s="338">
        <f>SUM(M36:M40)</f>
        <v>9199</v>
      </c>
      <c r="N35" s="338"/>
    </row>
    <row r="36" spans="1:14" ht="14.45" customHeight="1">
      <c r="A36" s="337" t="s">
        <v>124</v>
      </c>
      <c r="B36" s="339">
        <v>6779</v>
      </c>
      <c r="C36" s="345">
        <v>5570</v>
      </c>
      <c r="D36" s="499">
        <f t="shared" si="23"/>
        <v>82.165511137335884</v>
      </c>
      <c r="E36" s="345">
        <v>5702</v>
      </c>
      <c r="F36" s="500">
        <f t="shared" si="18"/>
        <v>-2.3149772009821117</v>
      </c>
      <c r="L36" s="504">
        <f t="shared" si="15"/>
        <v>5681</v>
      </c>
      <c r="M36" s="345">
        <v>5681</v>
      </c>
      <c r="N36" s="506"/>
    </row>
    <row r="37" spans="1:14" ht="14.45" customHeight="1">
      <c r="A37" s="343" t="s">
        <v>125</v>
      </c>
      <c r="B37" s="339"/>
      <c r="C37" s="345">
        <v>268</v>
      </c>
      <c r="D37" s="499"/>
      <c r="E37" s="345">
        <v>43</v>
      </c>
      <c r="F37" s="500">
        <f t="shared" si="18"/>
        <v>523.25581395348843</v>
      </c>
      <c r="L37" s="504">
        <f t="shared" si="15"/>
        <v>44</v>
      </c>
      <c r="M37" s="345">
        <v>44</v>
      </c>
      <c r="N37" s="342"/>
    </row>
    <row r="38" spans="1:14" ht="14.45" customHeight="1">
      <c r="A38" s="337" t="s">
        <v>126</v>
      </c>
      <c r="B38" s="339">
        <v>3221</v>
      </c>
      <c r="C38" s="345">
        <v>3044</v>
      </c>
      <c r="D38" s="499">
        <f t="shared" ref="D38" si="25">C38/B38*100</f>
        <v>94.504812170133505</v>
      </c>
      <c r="E38" s="345">
        <v>2895</v>
      </c>
      <c r="F38" s="500">
        <f t="shared" si="18"/>
        <v>5.1468048359240068</v>
      </c>
      <c r="L38" s="504">
        <f t="shared" si="15"/>
        <v>2895</v>
      </c>
      <c r="M38" s="345">
        <v>2895</v>
      </c>
      <c r="N38" s="342"/>
    </row>
    <row r="39" spans="1:14" ht="14.45" customHeight="1">
      <c r="A39" s="337" t="s">
        <v>127</v>
      </c>
      <c r="B39" s="339"/>
      <c r="C39" s="345"/>
      <c r="D39" s="499"/>
      <c r="E39" s="345"/>
      <c r="F39" s="500"/>
      <c r="L39" s="504">
        <f t="shared" si="15"/>
        <v>0</v>
      </c>
      <c r="M39" s="345"/>
      <c r="N39" s="342"/>
    </row>
    <row r="40" spans="1:14" ht="14.45" customHeight="1">
      <c r="A40" s="337" t="s">
        <v>128</v>
      </c>
      <c r="B40" s="339">
        <v>705</v>
      </c>
      <c r="C40" s="345">
        <v>640</v>
      </c>
      <c r="D40" s="499">
        <f t="shared" ref="D40" si="26">C40/B40*100</f>
        <v>90.780141843971634</v>
      </c>
      <c r="E40" s="345">
        <v>628</v>
      </c>
      <c r="F40" s="500">
        <f t="shared" ref="F40" si="27">+(C40-E40)/E40*100</f>
        <v>1.910828025477707</v>
      </c>
      <c r="L40" s="504">
        <f t="shared" si="15"/>
        <v>579</v>
      </c>
      <c r="M40" s="345">
        <v>579</v>
      </c>
      <c r="N40" s="342"/>
    </row>
    <row r="41" spans="1:14" ht="14.45" customHeight="1">
      <c r="A41" s="346" t="s">
        <v>129</v>
      </c>
      <c r="B41" s="339"/>
      <c r="C41" s="345">
        <v>179</v>
      </c>
      <c r="D41" s="499"/>
      <c r="E41" s="345"/>
      <c r="F41" s="500"/>
      <c r="L41" s="504"/>
      <c r="M41" s="345"/>
      <c r="N41" s="342"/>
    </row>
    <row r="42" spans="1:14" ht="22.5" customHeight="1">
      <c r="A42" s="501" t="s">
        <v>130</v>
      </c>
      <c r="B42" s="339">
        <f t="shared" ref="B42:C42" si="28">+B29+B30+B35</f>
        <v>258500</v>
      </c>
      <c r="C42" s="339">
        <f t="shared" si="28"/>
        <v>248283</v>
      </c>
      <c r="D42" s="499">
        <f>C42/B42*100</f>
        <v>96.047582205029016</v>
      </c>
      <c r="E42" s="339">
        <f>+E29+E30+E35</f>
        <v>241243</v>
      </c>
      <c r="F42" s="500">
        <f>+(C42-E42)/E42*100</f>
        <v>2.9182193887491037</v>
      </c>
      <c r="L42" s="504">
        <f>+M42+N42</f>
        <v>239354</v>
      </c>
      <c r="M42" s="338">
        <f>+M29+M30+M35</f>
        <v>239354</v>
      </c>
      <c r="N42" s="338">
        <f>+N29+N30+N35</f>
        <v>0</v>
      </c>
    </row>
    <row r="43" spans="1:14" ht="22.5" hidden="1" customHeight="1">
      <c r="A43" s="502"/>
      <c r="B43" s="503">
        <f>+B42-4387</f>
        <v>254113</v>
      </c>
      <c r="C43" s="339">
        <v>248283</v>
      </c>
      <c r="D43" s="499">
        <f>C43/B43*100</f>
        <v>97.705745081912383</v>
      </c>
      <c r="E43" s="503">
        <f>+E42-4387</f>
        <v>236856</v>
      </c>
      <c r="F43" s="500">
        <f>+(C43-E43)/E43*100</f>
        <v>4.8244502989157976</v>
      </c>
      <c r="L43" s="488"/>
      <c r="M43" s="228"/>
      <c r="N43" s="228"/>
    </row>
    <row r="44" spans="1:14" ht="32.1" customHeight="1">
      <c r="A44" s="544" t="s">
        <v>164</v>
      </c>
      <c r="B44" s="545"/>
      <c r="C44" s="546"/>
      <c r="D44" s="546"/>
      <c r="E44" s="546"/>
      <c r="F44" s="546"/>
      <c r="L44" s="489">
        <v>239354</v>
      </c>
      <c r="M44" s="489">
        <v>231044</v>
      </c>
    </row>
    <row r="45" spans="1:14">
      <c r="L45" s="489">
        <v>70166</v>
      </c>
    </row>
    <row r="46" spans="1:14">
      <c r="L46" s="489">
        <f>+L44-L45</f>
        <v>169188</v>
      </c>
      <c r="M46" s="489">
        <f>+M44-L45</f>
        <v>160878</v>
      </c>
    </row>
    <row r="47" spans="1:14">
      <c r="M47" s="489">
        <f>+L46/M46</f>
        <v>1.0516540484093537</v>
      </c>
    </row>
    <row r="48" spans="1:14">
      <c r="L48" s="489">
        <v>249354</v>
      </c>
    </row>
    <row r="49" spans="12:13">
      <c r="L49" s="489">
        <f>+L48-M42</f>
        <v>10000</v>
      </c>
      <c r="M49" s="489">
        <f>+L42-L48</f>
        <v>-10000</v>
      </c>
    </row>
  </sheetData>
  <mergeCells count="1">
    <mergeCell ref="A44:F44"/>
  </mergeCells>
  <phoneticPr fontId="2" type="noConversion"/>
  <printOptions horizontalCentered="1"/>
  <pageMargins left="0.78888888888888897" right="0.78888888888888897" top="0.97916666666666696" bottom="0.97916666666666696" header="0.2" footer="0.78888888888888897"/>
  <pageSetup paperSize="9" firstPageNumber="3" orientation="portrait" useFirstPageNumber="1"/>
  <headerFooter alignWithMargins="0">
    <oddFooter>&amp;C第 &amp;P 页</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E7" sqref="E7"/>
    </sheetView>
  </sheetViews>
  <sheetFormatPr defaultColWidth="6.75" defaultRowHeight="11.25"/>
  <cols>
    <col min="1" max="1" width="37" style="18" customWidth="1"/>
    <col min="2" max="2" width="40.125" style="18" customWidth="1"/>
    <col min="3" max="16384" width="6.75" style="18"/>
  </cols>
  <sheetData>
    <row r="1" spans="1:2" ht="93" customHeight="1">
      <c r="A1" s="602" t="s">
        <v>78</v>
      </c>
      <c r="B1" s="602"/>
    </row>
    <row r="2" spans="1:2" ht="43.5" customHeight="1">
      <c r="A2" s="19"/>
      <c r="B2" s="20" t="s">
        <v>210</v>
      </c>
    </row>
    <row r="3" spans="1:2" ht="43.5" customHeight="1">
      <c r="A3" s="21" t="s">
        <v>1124</v>
      </c>
      <c r="B3" s="21" t="s">
        <v>339</v>
      </c>
    </row>
    <row r="4" spans="1:2" ht="43.5" customHeight="1">
      <c r="A4" s="22" t="s">
        <v>1125</v>
      </c>
      <c r="B4" s="23">
        <v>0</v>
      </c>
    </row>
    <row r="5" spans="1:2" ht="43.5" customHeight="1">
      <c r="A5" s="22" t="s">
        <v>1126</v>
      </c>
      <c r="B5" s="23">
        <v>0</v>
      </c>
    </row>
    <row r="6" spans="1:2" ht="43.5" customHeight="1">
      <c r="A6" s="22" t="s">
        <v>1127</v>
      </c>
      <c r="B6" s="23">
        <v>0</v>
      </c>
    </row>
    <row r="7" spans="1:2" ht="43.5" customHeight="1">
      <c r="A7" s="22" t="s">
        <v>1128</v>
      </c>
      <c r="B7" s="23">
        <v>0</v>
      </c>
    </row>
    <row r="8" spans="1:2">
      <c r="A8" s="609" t="s">
        <v>1247</v>
      </c>
      <c r="B8" s="609"/>
    </row>
    <row r="9" spans="1:2">
      <c r="A9" s="610"/>
      <c r="B9" s="610"/>
    </row>
    <row r="10" spans="1:2">
      <c r="A10" s="610"/>
      <c r="B10" s="610"/>
    </row>
  </sheetData>
  <mergeCells count="2">
    <mergeCell ref="A1:B1"/>
    <mergeCell ref="A8:B10"/>
  </mergeCells>
  <phoneticPr fontId="2" type="noConversion"/>
  <pageMargins left="0.69930555555555596" right="0.69930555555555596" top="0.75" bottom="0.75" header="0.3" footer="0.3"/>
  <pageSetup paperSize="9" orientation="portrai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0"/>
  <sheetViews>
    <sheetView workbookViewId="0">
      <selection activeCell="E11" sqref="E11"/>
    </sheetView>
  </sheetViews>
  <sheetFormatPr defaultColWidth="9" defaultRowHeight="14.25"/>
  <cols>
    <col min="1" max="1" width="59.375" customWidth="1"/>
    <col min="2" max="2" width="23.375" customWidth="1"/>
  </cols>
  <sheetData>
    <row r="1" spans="1:2" ht="36.75" customHeight="1">
      <c r="A1" s="603" t="s">
        <v>80</v>
      </c>
      <c r="B1" s="603"/>
    </row>
    <row r="2" spans="1:2" ht="24.75" customHeight="1">
      <c r="A2" s="1"/>
      <c r="B2" s="2" t="s">
        <v>210</v>
      </c>
    </row>
    <row r="3" spans="1:2" ht="38.25" customHeight="1">
      <c r="A3" s="3" t="s">
        <v>1130</v>
      </c>
      <c r="B3" s="4" t="s">
        <v>351</v>
      </c>
    </row>
    <row r="4" spans="1:2" ht="26.25" customHeight="1">
      <c r="A4" s="5" t="s">
        <v>1131</v>
      </c>
      <c r="B4" s="6">
        <f>SUM(B5,B8,B13,B17,B22,B27,B29)</f>
        <v>9207.0500000000011</v>
      </c>
    </row>
    <row r="5" spans="1:2" ht="26.25" customHeight="1">
      <c r="A5" s="7" t="s">
        <v>1132</v>
      </c>
      <c r="B5" s="8">
        <f>SUM(B6:B7)</f>
        <v>233.39</v>
      </c>
    </row>
    <row r="6" spans="1:2" ht="26.25" customHeight="1">
      <c r="A6" s="7" t="s">
        <v>1133</v>
      </c>
      <c r="B6" s="8">
        <v>125</v>
      </c>
    </row>
    <row r="7" spans="1:2" ht="26.25" customHeight="1">
      <c r="A7" s="7" t="s">
        <v>1134</v>
      </c>
      <c r="B7" s="8">
        <v>108.39</v>
      </c>
    </row>
    <row r="8" spans="1:2" ht="26.25" customHeight="1">
      <c r="A8" s="7" t="s">
        <v>1135</v>
      </c>
      <c r="B8" s="8">
        <f>SUM(B9:B12)</f>
        <v>1681</v>
      </c>
    </row>
    <row r="9" spans="1:2" ht="26.25" customHeight="1">
      <c r="A9" s="7" t="s">
        <v>1136</v>
      </c>
      <c r="B9" s="8">
        <v>1093</v>
      </c>
    </row>
    <row r="10" spans="1:2" ht="26.25" customHeight="1">
      <c r="A10" s="7" t="s">
        <v>1137</v>
      </c>
      <c r="B10" s="8">
        <v>478</v>
      </c>
    </row>
    <row r="11" spans="1:2" ht="26.25" customHeight="1">
      <c r="A11" s="7" t="s">
        <v>1138</v>
      </c>
      <c r="B11" s="8">
        <v>97</v>
      </c>
    </row>
    <row r="12" spans="1:2" ht="26.25" customHeight="1">
      <c r="A12" s="7" t="s">
        <v>1139</v>
      </c>
      <c r="B12" s="8">
        <v>13</v>
      </c>
    </row>
    <row r="13" spans="1:2" ht="26.25" customHeight="1">
      <c r="A13" s="7" t="s">
        <v>1140</v>
      </c>
      <c r="B13" s="8">
        <f>SUM(B14:B16)</f>
        <v>858.6</v>
      </c>
    </row>
    <row r="14" spans="1:2" ht="26.25" customHeight="1">
      <c r="A14" s="7" t="s">
        <v>1141</v>
      </c>
      <c r="B14" s="8">
        <v>639</v>
      </c>
    </row>
    <row r="15" spans="1:2" ht="26.25" customHeight="1">
      <c r="A15" s="7" t="s">
        <v>1142</v>
      </c>
      <c r="B15" s="8">
        <v>176.6</v>
      </c>
    </row>
    <row r="16" spans="1:2" ht="26.25" customHeight="1">
      <c r="A16" s="7" t="s">
        <v>1143</v>
      </c>
      <c r="B16" s="8">
        <v>43</v>
      </c>
    </row>
    <row r="17" spans="1:2" ht="26.25" customHeight="1">
      <c r="A17" s="7" t="s">
        <v>1144</v>
      </c>
      <c r="B17" s="8">
        <f>SUM(B18:B21)</f>
        <v>5055.8</v>
      </c>
    </row>
    <row r="18" spans="1:2" ht="26.25" customHeight="1">
      <c r="A18" s="7" t="s">
        <v>1145</v>
      </c>
      <c r="B18" s="8">
        <v>250</v>
      </c>
    </row>
    <row r="19" spans="1:2" ht="26.25" customHeight="1">
      <c r="A19" s="9" t="s">
        <v>1146</v>
      </c>
      <c r="B19" s="10">
        <v>80</v>
      </c>
    </row>
    <row r="20" spans="1:2" ht="26.25" customHeight="1">
      <c r="A20" s="9" t="s">
        <v>1147</v>
      </c>
      <c r="B20" s="10">
        <v>3000</v>
      </c>
    </row>
    <row r="21" spans="1:2" ht="26.25" customHeight="1">
      <c r="A21" s="9" t="s">
        <v>1148</v>
      </c>
      <c r="B21" s="10">
        <v>1725.8</v>
      </c>
    </row>
    <row r="22" spans="1:2" ht="26.25" customHeight="1">
      <c r="A22" s="9" t="s">
        <v>1149</v>
      </c>
      <c r="B22" s="10">
        <f>SUM(B23:B26)</f>
        <v>517.66000000000008</v>
      </c>
    </row>
    <row r="23" spans="1:2" ht="26.25" customHeight="1">
      <c r="A23" s="9" t="s">
        <v>1150</v>
      </c>
      <c r="B23" s="10">
        <v>332.66</v>
      </c>
    </row>
    <row r="24" spans="1:2" ht="26.25" customHeight="1">
      <c r="A24" s="9" t="s">
        <v>1151</v>
      </c>
      <c r="B24" s="10">
        <v>85</v>
      </c>
    </row>
    <row r="25" spans="1:2" ht="26.25" customHeight="1">
      <c r="A25" s="9" t="s">
        <v>1152</v>
      </c>
      <c r="B25" s="10">
        <v>50</v>
      </c>
    </row>
    <row r="26" spans="1:2" ht="26.25" customHeight="1">
      <c r="A26" s="9" t="s">
        <v>1153</v>
      </c>
      <c r="B26" s="10">
        <v>50</v>
      </c>
    </row>
    <row r="27" spans="1:2" ht="26.25" customHeight="1">
      <c r="A27" s="9" t="s">
        <v>1154</v>
      </c>
      <c r="B27" s="10">
        <f>SUM(B28:B28)</f>
        <v>156.6</v>
      </c>
    </row>
    <row r="28" spans="1:2" ht="26.25" customHeight="1">
      <c r="A28" s="11" t="s">
        <v>1155</v>
      </c>
      <c r="B28" s="10">
        <v>156.6</v>
      </c>
    </row>
    <row r="29" spans="1:2" ht="26.25" customHeight="1">
      <c r="A29" s="9" t="s">
        <v>1156</v>
      </c>
      <c r="B29" s="10">
        <f>SUM(B30:B35)</f>
        <v>704</v>
      </c>
    </row>
    <row r="30" spans="1:2" ht="26.25" customHeight="1">
      <c r="A30" s="9" t="s">
        <v>1157</v>
      </c>
      <c r="B30" s="10">
        <v>200</v>
      </c>
    </row>
    <row r="31" spans="1:2" ht="26.25" customHeight="1">
      <c r="A31" s="9" t="s">
        <v>1158</v>
      </c>
      <c r="B31" s="10">
        <v>150</v>
      </c>
    </row>
    <row r="32" spans="1:2" ht="26.25" customHeight="1">
      <c r="A32" s="9" t="s">
        <v>1159</v>
      </c>
      <c r="B32" s="10">
        <v>90</v>
      </c>
    </row>
    <row r="33" spans="1:2" ht="26.25" customHeight="1">
      <c r="A33" s="9" t="s">
        <v>1160</v>
      </c>
      <c r="B33" s="10">
        <v>20</v>
      </c>
    </row>
    <row r="34" spans="1:2" ht="26.25" customHeight="1">
      <c r="A34" s="9" t="s">
        <v>1161</v>
      </c>
      <c r="B34" s="10">
        <v>184</v>
      </c>
    </row>
    <row r="35" spans="1:2" ht="26.25" customHeight="1">
      <c r="A35" s="9" t="s">
        <v>1162</v>
      </c>
      <c r="B35" s="10">
        <v>60</v>
      </c>
    </row>
    <row r="36" spans="1:2" ht="26.25" customHeight="1">
      <c r="A36" s="12" t="s">
        <v>1163</v>
      </c>
      <c r="B36" s="13">
        <f>SUM(B37:B38)</f>
        <v>3163.06</v>
      </c>
    </row>
    <row r="37" spans="1:2" ht="26.25" customHeight="1">
      <c r="A37" s="14" t="s">
        <v>1164</v>
      </c>
      <c r="B37" s="10">
        <v>163.06</v>
      </c>
    </row>
    <row r="38" spans="1:2" ht="26.25" customHeight="1">
      <c r="A38" s="15" t="s">
        <v>1165</v>
      </c>
      <c r="B38" s="8">
        <v>3000</v>
      </c>
    </row>
    <row r="39" spans="1:2" ht="26.25" customHeight="1">
      <c r="A39" s="7" t="s">
        <v>1166</v>
      </c>
      <c r="B39" s="8">
        <v>1000</v>
      </c>
    </row>
    <row r="40" spans="1:2" ht="26.25" customHeight="1">
      <c r="A40" s="9" t="s">
        <v>1167</v>
      </c>
      <c r="B40" s="10">
        <v>1400</v>
      </c>
    </row>
    <row r="41" spans="1:2" ht="26.25" customHeight="1">
      <c r="A41" s="7" t="s">
        <v>1168</v>
      </c>
      <c r="B41" s="8">
        <v>600</v>
      </c>
    </row>
    <row r="42" spans="1:2" ht="26.25" customHeight="1">
      <c r="A42" s="12" t="s">
        <v>1169</v>
      </c>
      <c r="B42" s="13">
        <f>SUM(B43:B45)</f>
        <v>320.48</v>
      </c>
    </row>
    <row r="43" spans="1:2" ht="26.25" customHeight="1">
      <c r="A43" s="9" t="s">
        <v>1170</v>
      </c>
      <c r="B43" s="10">
        <v>235</v>
      </c>
    </row>
    <row r="44" spans="1:2" ht="26.25" customHeight="1">
      <c r="A44" s="9" t="s">
        <v>1171</v>
      </c>
      <c r="B44" s="10">
        <v>50</v>
      </c>
    </row>
    <row r="45" spans="1:2" ht="26.25" customHeight="1">
      <c r="A45" s="9" t="s">
        <v>1172</v>
      </c>
      <c r="B45" s="10">
        <v>35.479999999999997</v>
      </c>
    </row>
    <row r="46" spans="1:2" ht="26.25" customHeight="1">
      <c r="A46" s="12" t="s">
        <v>1173</v>
      </c>
      <c r="B46" s="13">
        <f>SUM(B47,B49,B50,B51:B60,B63:B66,B67:B72)</f>
        <v>9471.24</v>
      </c>
    </row>
    <row r="47" spans="1:2" ht="26.25" customHeight="1">
      <c r="A47" s="9" t="s">
        <v>1174</v>
      </c>
      <c r="B47" s="10">
        <v>2900</v>
      </c>
    </row>
    <row r="48" spans="1:2" ht="26.25" customHeight="1">
      <c r="A48" s="9" t="s">
        <v>1175</v>
      </c>
      <c r="B48" s="10">
        <v>2490</v>
      </c>
    </row>
    <row r="49" spans="1:2" ht="26.25" customHeight="1">
      <c r="A49" s="9" t="s">
        <v>1176</v>
      </c>
      <c r="B49" s="10">
        <v>780</v>
      </c>
    </row>
    <row r="50" spans="1:2" ht="26.25" customHeight="1">
      <c r="A50" s="9" t="s">
        <v>1177</v>
      </c>
      <c r="B50" s="10">
        <v>100</v>
      </c>
    </row>
    <row r="51" spans="1:2" ht="26.25" customHeight="1">
      <c r="A51" s="9" t="s">
        <v>1178</v>
      </c>
      <c r="B51" s="10">
        <v>68.31</v>
      </c>
    </row>
    <row r="52" spans="1:2" ht="26.25" customHeight="1">
      <c r="A52" s="9" t="s">
        <v>1179</v>
      </c>
      <c r="B52" s="10">
        <v>143</v>
      </c>
    </row>
    <row r="53" spans="1:2" ht="26.25" customHeight="1">
      <c r="A53" s="9" t="s">
        <v>1180</v>
      </c>
      <c r="B53" s="10">
        <v>39.56</v>
      </c>
    </row>
    <row r="54" spans="1:2" ht="26.25" customHeight="1">
      <c r="A54" s="9" t="s">
        <v>1181</v>
      </c>
      <c r="B54" s="10">
        <v>26.83</v>
      </c>
    </row>
    <row r="55" spans="1:2" ht="26.25" customHeight="1">
      <c r="A55" s="9" t="s">
        <v>1182</v>
      </c>
      <c r="B55" s="10">
        <v>25.08</v>
      </c>
    </row>
    <row r="56" spans="1:2" ht="26.25" customHeight="1">
      <c r="A56" s="9" t="s">
        <v>1183</v>
      </c>
      <c r="B56" s="10">
        <v>1094</v>
      </c>
    </row>
    <row r="57" spans="1:2" ht="26.25" customHeight="1">
      <c r="A57" s="9" t="s">
        <v>1184</v>
      </c>
      <c r="B57" s="10">
        <v>840</v>
      </c>
    </row>
    <row r="58" spans="1:2" ht="26.25" customHeight="1">
      <c r="A58" s="9" t="s">
        <v>1185</v>
      </c>
      <c r="B58" s="10">
        <v>829</v>
      </c>
    </row>
    <row r="59" spans="1:2" ht="26.25" customHeight="1">
      <c r="A59" s="9" t="s">
        <v>1186</v>
      </c>
      <c r="B59" s="10">
        <v>481</v>
      </c>
    </row>
    <row r="60" spans="1:2" ht="26.25" customHeight="1">
      <c r="A60" s="9" t="s">
        <v>1187</v>
      </c>
      <c r="B60" s="10">
        <f>SUM(B61:B62)</f>
        <v>291.46000000000004</v>
      </c>
    </row>
    <row r="61" spans="1:2" ht="26.25" customHeight="1">
      <c r="A61" s="7" t="s">
        <v>1188</v>
      </c>
      <c r="B61" s="8">
        <v>203.31</v>
      </c>
    </row>
    <row r="62" spans="1:2" ht="26.25" customHeight="1">
      <c r="A62" s="9" t="s">
        <v>1189</v>
      </c>
      <c r="B62" s="10">
        <v>88.15</v>
      </c>
    </row>
    <row r="63" spans="1:2" ht="26.25" customHeight="1">
      <c r="A63" s="9" t="s">
        <v>1190</v>
      </c>
      <c r="B63" s="10">
        <v>287</v>
      </c>
    </row>
    <row r="64" spans="1:2" ht="69" customHeight="1">
      <c r="A64" s="9" t="s">
        <v>1191</v>
      </c>
      <c r="B64" s="10">
        <v>146</v>
      </c>
    </row>
    <row r="65" spans="1:2" ht="26.25" customHeight="1">
      <c r="A65" s="9" t="s">
        <v>1192</v>
      </c>
      <c r="B65" s="10">
        <v>28</v>
      </c>
    </row>
    <row r="66" spans="1:2" ht="26.25" customHeight="1">
      <c r="A66" s="9" t="s">
        <v>1193</v>
      </c>
      <c r="B66" s="10">
        <v>500</v>
      </c>
    </row>
    <row r="67" spans="1:2" ht="26.25" customHeight="1">
      <c r="A67" s="7" t="s">
        <v>1194</v>
      </c>
      <c r="B67" s="8">
        <v>72</v>
      </c>
    </row>
    <row r="68" spans="1:2" ht="26.25" customHeight="1">
      <c r="A68" s="7" t="s">
        <v>1195</v>
      </c>
      <c r="B68" s="8">
        <v>300</v>
      </c>
    </row>
    <row r="69" spans="1:2" ht="26.25" customHeight="1">
      <c r="A69" s="7" t="s">
        <v>1196</v>
      </c>
      <c r="B69" s="8">
        <v>100</v>
      </c>
    </row>
    <row r="70" spans="1:2" ht="39.75" customHeight="1">
      <c r="A70" s="7" t="s">
        <v>1197</v>
      </c>
      <c r="B70" s="8">
        <v>100</v>
      </c>
    </row>
    <row r="71" spans="1:2" ht="26.25" customHeight="1">
      <c r="A71" s="7" t="s">
        <v>1198</v>
      </c>
      <c r="B71" s="8">
        <v>20</v>
      </c>
    </row>
    <row r="72" spans="1:2" ht="26.25" customHeight="1">
      <c r="A72" s="7" t="s">
        <v>1199</v>
      </c>
      <c r="B72" s="8">
        <v>300</v>
      </c>
    </row>
    <row r="73" spans="1:2" ht="26.25" customHeight="1">
      <c r="A73" s="16" t="s">
        <v>1200</v>
      </c>
      <c r="B73" s="6">
        <f>SUM(B74:B77,B81:B88)</f>
        <v>14188.369999999999</v>
      </c>
    </row>
    <row r="74" spans="1:2" ht="26.25" customHeight="1">
      <c r="A74" s="7" t="s">
        <v>1201</v>
      </c>
      <c r="B74" s="8">
        <v>656.54</v>
      </c>
    </row>
    <row r="75" spans="1:2" ht="26.25" customHeight="1">
      <c r="A75" s="7" t="s">
        <v>1202</v>
      </c>
      <c r="B75" s="8">
        <v>7623.54</v>
      </c>
    </row>
    <row r="76" spans="1:2" ht="26.25" customHeight="1">
      <c r="A76" s="7" t="s">
        <v>1203</v>
      </c>
      <c r="B76" s="8">
        <v>2000</v>
      </c>
    </row>
    <row r="77" spans="1:2" ht="26.25" customHeight="1">
      <c r="A77" s="7" t="s">
        <v>1204</v>
      </c>
      <c r="B77" s="8">
        <f>SUM(B78:B80)</f>
        <v>1621.48</v>
      </c>
    </row>
    <row r="78" spans="1:2" ht="26.25" customHeight="1">
      <c r="A78" s="17" t="s">
        <v>1205</v>
      </c>
      <c r="B78" s="8">
        <v>356.48</v>
      </c>
    </row>
    <row r="79" spans="1:2" ht="26.25" customHeight="1">
      <c r="A79" s="7" t="s">
        <v>1206</v>
      </c>
      <c r="B79" s="8">
        <v>1205</v>
      </c>
    </row>
    <row r="80" spans="1:2" ht="26.25" customHeight="1">
      <c r="A80" s="7" t="s">
        <v>1207</v>
      </c>
      <c r="B80" s="8">
        <v>60</v>
      </c>
    </row>
    <row r="81" spans="1:2" ht="26.25" customHeight="1">
      <c r="A81" s="7" t="s">
        <v>1208</v>
      </c>
      <c r="B81" s="8">
        <v>1400</v>
      </c>
    </row>
    <row r="82" spans="1:2" ht="26.25" customHeight="1">
      <c r="A82" s="7" t="s">
        <v>1209</v>
      </c>
      <c r="B82" s="8">
        <v>300</v>
      </c>
    </row>
    <row r="83" spans="1:2" ht="26.25" customHeight="1">
      <c r="A83" s="7" t="s">
        <v>1210</v>
      </c>
      <c r="B83" s="8">
        <v>203.46</v>
      </c>
    </row>
    <row r="84" spans="1:2" ht="26.25" customHeight="1">
      <c r="A84" s="7" t="s">
        <v>1211</v>
      </c>
      <c r="B84" s="8">
        <v>200</v>
      </c>
    </row>
    <row r="85" spans="1:2" ht="26.25" customHeight="1">
      <c r="A85" s="7" t="s">
        <v>1212</v>
      </c>
      <c r="B85" s="8">
        <v>57</v>
      </c>
    </row>
    <row r="86" spans="1:2" ht="26.25" customHeight="1">
      <c r="A86" s="7" t="s">
        <v>1213</v>
      </c>
      <c r="B86" s="8">
        <v>40</v>
      </c>
    </row>
    <row r="87" spans="1:2" ht="26.25" customHeight="1">
      <c r="A87" s="7" t="s">
        <v>1214</v>
      </c>
      <c r="B87" s="8">
        <v>30</v>
      </c>
    </row>
    <row r="88" spans="1:2" ht="26.25" customHeight="1">
      <c r="A88" s="7" t="s">
        <v>1215</v>
      </c>
      <c r="B88" s="8">
        <v>56.35</v>
      </c>
    </row>
    <row r="89" spans="1:2" ht="26.25" customHeight="1">
      <c r="A89" s="5" t="s">
        <v>1216</v>
      </c>
      <c r="B89" s="6">
        <f>SUM(B90,B91:B97)</f>
        <v>1735.15</v>
      </c>
    </row>
    <row r="90" spans="1:2" ht="26.25" customHeight="1">
      <c r="A90" s="7" t="s">
        <v>1217</v>
      </c>
      <c r="B90" s="8">
        <v>1100</v>
      </c>
    </row>
    <row r="91" spans="1:2" ht="26.25" customHeight="1">
      <c r="A91" s="7" t="s">
        <v>1218</v>
      </c>
      <c r="B91" s="8">
        <v>200</v>
      </c>
    </row>
    <row r="92" spans="1:2" ht="30" customHeight="1">
      <c r="A92" s="7" t="s">
        <v>1219</v>
      </c>
      <c r="B92" s="8">
        <v>153.15</v>
      </c>
    </row>
    <row r="93" spans="1:2" ht="30" customHeight="1">
      <c r="A93" s="7" t="s">
        <v>1220</v>
      </c>
      <c r="B93" s="8">
        <v>100</v>
      </c>
    </row>
    <row r="94" spans="1:2" ht="30" customHeight="1">
      <c r="A94" s="7" t="s">
        <v>1221</v>
      </c>
      <c r="B94" s="8">
        <v>62</v>
      </c>
    </row>
    <row r="95" spans="1:2" ht="30" customHeight="1">
      <c r="A95" s="7" t="s">
        <v>1222</v>
      </c>
      <c r="B95" s="8">
        <v>40</v>
      </c>
    </row>
    <row r="96" spans="1:2" ht="30" customHeight="1">
      <c r="A96" s="7" t="s">
        <v>1223</v>
      </c>
      <c r="B96" s="8">
        <v>40</v>
      </c>
    </row>
    <row r="97" spans="1:2" ht="30" customHeight="1">
      <c r="A97" s="7" t="s">
        <v>1224</v>
      </c>
      <c r="B97" s="8">
        <v>40</v>
      </c>
    </row>
    <row r="98" spans="1:2" ht="28.5" customHeight="1">
      <c r="A98" s="16" t="s">
        <v>1225</v>
      </c>
      <c r="B98" s="6">
        <f>SUM(B99:B100,B106:B110)</f>
        <v>7168.48</v>
      </c>
    </row>
    <row r="99" spans="1:2" ht="28.5" customHeight="1">
      <c r="A99" s="7" t="s">
        <v>1226</v>
      </c>
      <c r="B99" s="8">
        <v>5000</v>
      </c>
    </row>
    <row r="100" spans="1:2" ht="28.5" customHeight="1">
      <c r="A100" s="7" t="s">
        <v>1227</v>
      </c>
      <c r="B100" s="8">
        <f>+B101+B102+B103+B104+B105</f>
        <v>1434.8</v>
      </c>
    </row>
    <row r="101" spans="1:2" ht="28.5" customHeight="1">
      <c r="A101" s="7" t="s">
        <v>1228</v>
      </c>
      <c r="B101" s="8">
        <v>272</v>
      </c>
    </row>
    <row r="102" spans="1:2" ht="28.5" customHeight="1">
      <c r="A102" s="7" t="s">
        <v>1229</v>
      </c>
      <c r="B102" s="8">
        <v>408</v>
      </c>
    </row>
    <row r="103" spans="1:2" ht="28.5" customHeight="1">
      <c r="A103" s="7" t="s">
        <v>1230</v>
      </c>
      <c r="B103" s="8">
        <v>272</v>
      </c>
    </row>
    <row r="104" spans="1:2" ht="28.5" customHeight="1">
      <c r="A104" s="7" t="s">
        <v>1231</v>
      </c>
      <c r="B104" s="8">
        <v>34</v>
      </c>
    </row>
    <row r="105" spans="1:2" ht="28.5" customHeight="1">
      <c r="A105" s="7" t="s">
        <v>1232</v>
      </c>
      <c r="B105" s="8">
        <v>448.8</v>
      </c>
    </row>
    <row r="106" spans="1:2" ht="28.5" customHeight="1">
      <c r="A106" s="7" t="s">
        <v>1233</v>
      </c>
      <c r="B106" s="8">
        <v>55.53</v>
      </c>
    </row>
    <row r="107" spans="1:2" ht="28.5" customHeight="1">
      <c r="A107" s="7" t="s">
        <v>1234</v>
      </c>
      <c r="B107" s="8">
        <v>108.15</v>
      </c>
    </row>
    <row r="108" spans="1:2" ht="28.5" customHeight="1">
      <c r="A108" s="7" t="s">
        <v>1235</v>
      </c>
      <c r="B108" s="8">
        <v>100</v>
      </c>
    </row>
    <row r="109" spans="1:2" ht="28.5" customHeight="1">
      <c r="A109" s="7" t="s">
        <v>1236</v>
      </c>
      <c r="B109" s="8">
        <v>70</v>
      </c>
    </row>
    <row r="110" spans="1:2" ht="28.5" customHeight="1">
      <c r="A110" s="7" t="s">
        <v>1237</v>
      </c>
      <c r="B110" s="8">
        <v>400</v>
      </c>
    </row>
  </sheetData>
  <mergeCells count="1">
    <mergeCell ref="A1:B1"/>
  </mergeCells>
  <phoneticPr fontId="2" type="noConversion"/>
  <pageMargins left="0.70866141732283505" right="0.39370078740157499" top="0.74803149606299202" bottom="0.74803149606299202" header="0.31496062992126" footer="0.31496062992126"/>
  <pageSetup paperSize="9" orientation="portrai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
  <sheetViews>
    <sheetView workbookViewId="0">
      <selection activeCell="I29" sqref="I29"/>
    </sheetView>
  </sheetViews>
  <sheetFormatPr defaultColWidth="9" defaultRowHeight="15"/>
  <cols>
    <col min="1" max="1" width="27.875" style="533" customWidth="1"/>
    <col min="2" max="3" width="25.125" style="533" customWidth="1"/>
    <col min="4" max="16384" width="9" style="533"/>
  </cols>
  <sheetData>
    <row r="2" spans="1:3" ht="22.5">
      <c r="A2" s="604" t="s">
        <v>1238</v>
      </c>
      <c r="B2" s="604"/>
      <c r="C2" s="604"/>
    </row>
    <row r="3" spans="1:3">
      <c r="C3" s="534" t="s">
        <v>1239</v>
      </c>
    </row>
    <row r="4" spans="1:3">
      <c r="A4" s="535" t="s">
        <v>854</v>
      </c>
      <c r="B4" s="535" t="s">
        <v>1240</v>
      </c>
      <c r="C4" s="535" t="s">
        <v>1241</v>
      </c>
    </row>
    <row r="5" spans="1:3">
      <c r="A5" s="536" t="s">
        <v>1242</v>
      </c>
      <c r="B5" s="537">
        <v>200.5067</v>
      </c>
      <c r="C5" s="537">
        <v>199.63229999999999</v>
      </c>
    </row>
    <row r="6" spans="1:3">
      <c r="A6" s="536" t="s">
        <v>1243</v>
      </c>
      <c r="B6" s="537">
        <v>38.2532</v>
      </c>
      <c r="C6" s="537">
        <v>37.870899999999999</v>
      </c>
    </row>
    <row r="7" spans="1:3">
      <c r="A7" s="605" t="s">
        <v>1244</v>
      </c>
      <c r="B7" s="606"/>
      <c r="C7" s="606"/>
    </row>
  </sheetData>
  <mergeCells count="2">
    <mergeCell ref="A2:C2"/>
    <mergeCell ref="A7:C7"/>
  </mergeCells>
  <phoneticPr fontId="2" type="noConversion"/>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
  <sheetViews>
    <sheetView workbookViewId="0">
      <selection activeCell="D28" sqref="D28"/>
    </sheetView>
  </sheetViews>
  <sheetFormatPr defaultColWidth="9" defaultRowHeight="15"/>
  <cols>
    <col min="1" max="2" width="27.875" style="533" customWidth="1"/>
    <col min="3" max="3" width="24.625" style="533" customWidth="1"/>
    <col min="4" max="16384" width="9" style="533"/>
  </cols>
  <sheetData>
    <row r="2" spans="1:3" ht="22.5">
      <c r="A2" s="604" t="s">
        <v>1245</v>
      </c>
      <c r="B2" s="604"/>
      <c r="C2" s="604"/>
    </row>
    <row r="3" spans="1:3">
      <c r="C3" s="534" t="s">
        <v>1239</v>
      </c>
    </row>
    <row r="4" spans="1:3">
      <c r="A4" s="535" t="s">
        <v>854</v>
      </c>
      <c r="B4" s="535" t="s">
        <v>1240</v>
      </c>
      <c r="C4" s="535" t="s">
        <v>1241</v>
      </c>
    </row>
    <row r="5" spans="1:3">
      <c r="A5" s="536" t="s">
        <v>1242</v>
      </c>
      <c r="B5" s="537">
        <v>114.1962</v>
      </c>
      <c r="C5" s="537">
        <v>114.1962</v>
      </c>
    </row>
    <row r="6" spans="1:3">
      <c r="A6" s="536" t="s">
        <v>1243</v>
      </c>
      <c r="B6" s="537">
        <v>43.777299999999997</v>
      </c>
      <c r="C6" s="537">
        <v>43.777299999999997</v>
      </c>
    </row>
    <row r="7" spans="1:3">
      <c r="A7" s="605" t="s">
        <v>1244</v>
      </c>
      <c r="B7" s="606"/>
      <c r="C7" s="606"/>
    </row>
  </sheetData>
  <mergeCells count="2">
    <mergeCell ref="A2:C2"/>
    <mergeCell ref="A7:C7"/>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7"/>
  <sheetViews>
    <sheetView topLeftCell="A9" workbookViewId="0">
      <selection activeCell="A28" sqref="A28"/>
    </sheetView>
  </sheetViews>
  <sheetFormatPr defaultColWidth="9" defaultRowHeight="15.75"/>
  <cols>
    <col min="1" max="1" width="30.5" style="227" customWidth="1"/>
    <col min="2" max="2" width="14.125" style="227" customWidth="1"/>
    <col min="3" max="3" width="14.75" style="471" customWidth="1"/>
    <col min="4" max="4" width="16.25" style="227" customWidth="1"/>
    <col min="5" max="5" width="9" style="227"/>
    <col min="6" max="11" width="9" style="227" hidden="1" customWidth="1"/>
    <col min="12" max="16384" width="9" style="227"/>
  </cols>
  <sheetData>
    <row r="1" spans="1:11" s="470" customFormat="1" ht="44.25" customHeight="1">
      <c r="A1" s="547" t="s">
        <v>8</v>
      </c>
      <c r="B1" s="547"/>
      <c r="C1" s="547"/>
      <c r="D1" s="547"/>
    </row>
    <row r="2" spans="1:11" ht="24.95" customHeight="1">
      <c r="A2" s="472"/>
      <c r="B2" s="472"/>
      <c r="C2" s="473"/>
      <c r="D2" s="474" t="s">
        <v>165</v>
      </c>
    </row>
    <row r="3" spans="1:11" s="38" customFormat="1" ht="28.5" customHeight="1">
      <c r="A3" s="197" t="s">
        <v>133</v>
      </c>
      <c r="B3" s="475" t="s">
        <v>166</v>
      </c>
      <c r="C3" s="197" t="s">
        <v>135</v>
      </c>
      <c r="D3" s="196" t="s">
        <v>167</v>
      </c>
      <c r="F3" s="447" t="s">
        <v>88</v>
      </c>
      <c r="G3" s="447" t="s">
        <v>168</v>
      </c>
      <c r="H3" s="447" t="s">
        <v>90</v>
      </c>
    </row>
    <row r="4" spans="1:11" s="38" customFormat="1" ht="24.75" customHeight="1">
      <c r="A4" s="476" t="s">
        <v>137</v>
      </c>
      <c r="B4" s="305">
        <v>60814</v>
      </c>
      <c r="C4" s="477">
        <v>62275</v>
      </c>
      <c r="D4" s="233">
        <f t="shared" ref="D4" si="0">(B4-C4)/C4*100</f>
        <v>-2.3460457647531112</v>
      </c>
      <c r="F4" s="186">
        <f t="shared" ref="F4" si="1">+G4+H4</f>
        <v>64004</v>
      </c>
      <c r="G4" s="478">
        <v>61075</v>
      </c>
      <c r="H4" s="186">
        <v>2929</v>
      </c>
      <c r="K4" s="38">
        <v>56957</v>
      </c>
    </row>
    <row r="5" spans="1:11" s="38" customFormat="1" ht="24.75" customHeight="1">
      <c r="A5" s="476" t="s">
        <v>138</v>
      </c>
      <c r="B5" s="305"/>
      <c r="D5" s="233"/>
      <c r="F5" s="186">
        <f t="shared" ref="F5:F26" si="2">+G5+H5</f>
        <v>0</v>
      </c>
      <c r="G5" s="478"/>
      <c r="H5" s="186"/>
      <c r="K5" s="38">
        <v>0</v>
      </c>
    </row>
    <row r="6" spans="1:11" s="38" customFormat="1" ht="24.75" customHeight="1">
      <c r="A6" s="476" t="s">
        <v>139</v>
      </c>
      <c r="B6" s="305">
        <v>1216</v>
      </c>
      <c r="C6" s="477">
        <v>1216</v>
      </c>
      <c r="D6" s="233">
        <f t="shared" ref="D6" si="3">(B6-C6)/C6*100</f>
        <v>0</v>
      </c>
      <c r="F6" s="186">
        <f t="shared" si="2"/>
        <v>1894</v>
      </c>
      <c r="G6" s="478">
        <v>1194</v>
      </c>
      <c r="H6" s="186">
        <v>700</v>
      </c>
      <c r="K6" s="38">
        <v>1186</v>
      </c>
    </row>
    <row r="7" spans="1:11" s="38" customFormat="1" ht="24.75" customHeight="1">
      <c r="A7" s="476" t="s">
        <v>140</v>
      </c>
      <c r="B7" s="305">
        <v>83186</v>
      </c>
      <c r="C7" s="477">
        <v>71550</v>
      </c>
      <c r="D7" s="233">
        <f t="shared" ref="D7:D19" si="4">(B7-C7)/C7*100</f>
        <v>16.262753319357092</v>
      </c>
      <c r="F7" s="186">
        <f t="shared" si="2"/>
        <v>70877</v>
      </c>
      <c r="G7" s="478">
        <v>70877</v>
      </c>
      <c r="H7" s="186"/>
      <c r="K7" s="38">
        <v>73502</v>
      </c>
    </row>
    <row r="8" spans="1:11" s="38" customFormat="1" ht="24.75" customHeight="1">
      <c r="A8" s="476" t="s">
        <v>141</v>
      </c>
      <c r="B8" s="305">
        <v>42993</v>
      </c>
      <c r="C8" s="477">
        <v>42732</v>
      </c>
      <c r="D8" s="233">
        <f t="shared" si="4"/>
        <v>0.61078348778433023</v>
      </c>
      <c r="F8" s="186">
        <f t="shared" si="2"/>
        <v>37189</v>
      </c>
      <c r="G8" s="478">
        <v>37189</v>
      </c>
      <c r="H8" s="186"/>
      <c r="K8" s="38">
        <v>33738</v>
      </c>
    </row>
    <row r="9" spans="1:11" s="38" customFormat="1" ht="24.75" customHeight="1">
      <c r="A9" s="476" t="s">
        <v>142</v>
      </c>
      <c r="B9" s="305">
        <v>4698</v>
      </c>
      <c r="C9" s="477">
        <v>4687</v>
      </c>
      <c r="D9" s="233">
        <f t="shared" si="4"/>
        <v>0.2346917004480478</v>
      </c>
      <c r="F9" s="186">
        <f t="shared" si="2"/>
        <v>4565</v>
      </c>
      <c r="G9" s="478">
        <v>4565</v>
      </c>
      <c r="H9" s="186"/>
      <c r="K9" s="38">
        <v>2110</v>
      </c>
    </row>
    <row r="10" spans="1:11" s="38" customFormat="1" ht="24.75" customHeight="1">
      <c r="A10" s="476" t="s">
        <v>143</v>
      </c>
      <c r="B10" s="305">
        <v>16313</v>
      </c>
      <c r="C10" s="477">
        <v>17282</v>
      </c>
      <c r="D10" s="233">
        <f t="shared" si="4"/>
        <v>-5.6069899317208653</v>
      </c>
      <c r="F10" s="186">
        <f t="shared" si="2"/>
        <v>17201</v>
      </c>
      <c r="G10" s="478">
        <v>17201</v>
      </c>
      <c r="H10" s="186"/>
      <c r="K10" s="38">
        <v>6399</v>
      </c>
    </row>
    <row r="11" spans="1:11" s="38" customFormat="1" ht="24.75" customHeight="1">
      <c r="A11" s="476" t="s">
        <v>144</v>
      </c>
      <c r="B11" s="305">
        <v>111291</v>
      </c>
      <c r="C11" s="477">
        <v>106875</v>
      </c>
      <c r="D11" s="233">
        <f t="shared" si="4"/>
        <v>4.1319298245614036</v>
      </c>
      <c r="F11" s="186">
        <f t="shared" si="2"/>
        <v>121667</v>
      </c>
      <c r="G11" s="478">
        <f>104722+1945</f>
        <v>106667</v>
      </c>
      <c r="H11" s="186">
        <v>15000</v>
      </c>
      <c r="K11" s="38">
        <v>102563</v>
      </c>
    </row>
    <row r="12" spans="1:11" s="38" customFormat="1" ht="24.75" customHeight="1">
      <c r="A12" s="476" t="s">
        <v>145</v>
      </c>
      <c r="B12" s="305">
        <v>21458</v>
      </c>
      <c r="C12" s="477">
        <v>20471</v>
      </c>
      <c r="D12" s="233">
        <f t="shared" si="4"/>
        <v>4.8214547408529134</v>
      </c>
      <c r="F12" s="186">
        <f t="shared" si="2"/>
        <v>29229</v>
      </c>
      <c r="G12" s="478">
        <v>20229</v>
      </c>
      <c r="H12" s="186">
        <f>8000+1000</f>
        <v>9000</v>
      </c>
      <c r="K12" s="38">
        <v>22498</v>
      </c>
    </row>
    <row r="13" spans="1:11" s="38" customFormat="1" ht="24.75" customHeight="1">
      <c r="A13" s="476" t="s">
        <v>146</v>
      </c>
      <c r="B13" s="305">
        <v>10945</v>
      </c>
      <c r="C13" s="477">
        <v>15420</v>
      </c>
      <c r="D13" s="233">
        <f t="shared" si="4"/>
        <v>-29.020752269779511</v>
      </c>
      <c r="F13" s="186">
        <f t="shared" si="2"/>
        <v>6450</v>
      </c>
      <c r="G13" s="478">
        <v>15450</v>
      </c>
      <c r="H13" s="186">
        <f>-8000-1000</f>
        <v>-9000</v>
      </c>
      <c r="K13" s="38">
        <v>4976</v>
      </c>
    </row>
    <row r="14" spans="1:11" s="38" customFormat="1" ht="24.75" customHeight="1">
      <c r="A14" s="476" t="s">
        <v>147</v>
      </c>
      <c r="B14" s="305">
        <v>26135</v>
      </c>
      <c r="C14" s="477">
        <v>62532</v>
      </c>
      <c r="D14" s="233">
        <f t="shared" si="4"/>
        <v>-58.205398835796075</v>
      </c>
      <c r="F14" s="186">
        <f t="shared" si="2"/>
        <v>48612</v>
      </c>
      <c r="G14" s="478">
        <v>63612</v>
      </c>
      <c r="H14" s="186">
        <v>-15000</v>
      </c>
      <c r="K14" s="38">
        <v>51601</v>
      </c>
    </row>
    <row r="15" spans="1:11" s="38" customFormat="1" ht="24.75" customHeight="1">
      <c r="A15" s="479" t="s">
        <v>148</v>
      </c>
      <c r="B15" s="305">
        <v>23576</v>
      </c>
      <c r="C15" s="477">
        <v>21814</v>
      </c>
      <c r="D15" s="233">
        <f t="shared" si="4"/>
        <v>8.0773814981204737</v>
      </c>
      <c r="F15" s="186">
        <f t="shared" si="2"/>
        <v>19558</v>
      </c>
      <c r="G15" s="478">
        <v>20358</v>
      </c>
      <c r="H15" s="186">
        <v>-800</v>
      </c>
      <c r="K15" s="38">
        <v>20732</v>
      </c>
    </row>
    <row r="16" spans="1:11" s="38" customFormat="1" ht="24.75" customHeight="1">
      <c r="A16" s="479" t="s">
        <v>149</v>
      </c>
      <c r="B16" s="305">
        <v>35068</v>
      </c>
      <c r="C16" s="477">
        <v>41476</v>
      </c>
      <c r="D16" s="233">
        <f t="shared" si="4"/>
        <v>-15.449898736618767</v>
      </c>
      <c r="F16" s="186">
        <f t="shared" si="2"/>
        <v>41456</v>
      </c>
      <c r="G16" s="478">
        <v>41456</v>
      </c>
      <c r="H16" s="186"/>
      <c r="K16" s="38">
        <v>40759</v>
      </c>
    </row>
    <row r="17" spans="1:256" s="38" customFormat="1" ht="24.75" customHeight="1">
      <c r="A17" s="479" t="s">
        <v>150</v>
      </c>
      <c r="B17" s="305">
        <v>2402</v>
      </c>
      <c r="C17" s="477">
        <v>3402</v>
      </c>
      <c r="D17" s="233">
        <f t="shared" si="4"/>
        <v>-29.394473838918284</v>
      </c>
      <c r="F17" s="186">
        <f t="shared" si="2"/>
        <v>3402</v>
      </c>
      <c r="G17" s="478">
        <v>3402</v>
      </c>
      <c r="H17" s="186"/>
      <c r="K17" s="38">
        <v>3230</v>
      </c>
    </row>
    <row r="18" spans="1:256" s="38" customFormat="1" ht="24.75" customHeight="1">
      <c r="A18" s="479" t="s">
        <v>151</v>
      </c>
      <c r="B18" s="305">
        <v>1746</v>
      </c>
      <c r="C18" s="477">
        <v>2011</v>
      </c>
      <c r="D18" s="233">
        <f t="shared" si="4"/>
        <v>-13.177523620089508</v>
      </c>
      <c r="F18" s="186">
        <f t="shared" si="2"/>
        <v>2406</v>
      </c>
      <c r="G18" s="478">
        <v>2006</v>
      </c>
      <c r="H18" s="186">
        <v>400</v>
      </c>
      <c r="K18" s="38">
        <v>1881</v>
      </c>
    </row>
    <row r="19" spans="1:256" s="38" customFormat="1" ht="24.75" customHeight="1">
      <c r="A19" s="479" t="s">
        <v>152</v>
      </c>
      <c r="B19" s="305">
        <v>157</v>
      </c>
      <c r="C19" s="477">
        <v>1167</v>
      </c>
      <c r="D19" s="233">
        <f t="shared" si="4"/>
        <v>-86.546700942587833</v>
      </c>
      <c r="F19" s="186">
        <f t="shared" si="2"/>
        <v>140</v>
      </c>
      <c r="G19" s="478">
        <v>440</v>
      </c>
      <c r="H19" s="186">
        <v>-300</v>
      </c>
      <c r="K19" s="38">
        <v>364</v>
      </c>
    </row>
    <row r="20" spans="1:256" s="38" customFormat="1" ht="24.75" customHeight="1">
      <c r="A20" s="479" t="s">
        <v>153</v>
      </c>
      <c r="B20" s="305"/>
      <c r="C20" s="477"/>
      <c r="D20" s="233"/>
      <c r="F20" s="186">
        <f t="shared" si="2"/>
        <v>0</v>
      </c>
      <c r="G20" s="478"/>
      <c r="H20" s="186"/>
      <c r="K20" s="38">
        <v>0</v>
      </c>
    </row>
    <row r="21" spans="1:256" s="38" customFormat="1" ht="24.75" customHeight="1">
      <c r="A21" s="479" t="s">
        <v>154</v>
      </c>
      <c r="B21" s="305">
        <v>3299</v>
      </c>
      <c r="C21" s="477">
        <v>3899</v>
      </c>
      <c r="D21" s="233">
        <f t="shared" ref="D21:D26" si="5">(B21-C21)/C21*100</f>
        <v>-15.388561169530648</v>
      </c>
      <c r="F21" s="186">
        <f t="shared" si="2"/>
        <v>4249</v>
      </c>
      <c r="G21" s="478">
        <v>4249</v>
      </c>
      <c r="H21" s="186"/>
      <c r="K21" s="38">
        <v>3038</v>
      </c>
    </row>
    <row r="22" spans="1:256" s="38" customFormat="1" ht="24.75" customHeight="1">
      <c r="A22" s="476" t="s">
        <v>155</v>
      </c>
      <c r="B22" s="305">
        <v>10139</v>
      </c>
      <c r="C22" s="477">
        <v>14545</v>
      </c>
      <c r="D22" s="233">
        <f t="shared" si="5"/>
        <v>-30.292196631144723</v>
      </c>
      <c r="F22" s="186">
        <f t="shared" si="2"/>
        <v>12016</v>
      </c>
      <c r="G22" s="478">
        <v>14545</v>
      </c>
      <c r="H22" s="186">
        <v>-2529</v>
      </c>
      <c r="K22" s="38">
        <v>18545</v>
      </c>
    </row>
    <row r="23" spans="1:256" s="38" customFormat="1" ht="24.75" customHeight="1">
      <c r="A23" s="476" t="s">
        <v>156</v>
      </c>
      <c r="B23" s="305">
        <v>898</v>
      </c>
      <c r="C23" s="477">
        <v>1618</v>
      </c>
      <c r="D23" s="233">
        <f t="shared" si="5"/>
        <v>-44.499381953028433</v>
      </c>
      <c r="F23" s="186">
        <f t="shared" si="2"/>
        <v>1683</v>
      </c>
      <c r="G23" s="478">
        <v>2083</v>
      </c>
      <c r="H23" s="186">
        <v>-400</v>
      </c>
      <c r="K23" s="38">
        <v>1589</v>
      </c>
    </row>
    <row r="24" spans="1:256" s="38" customFormat="1" ht="24.75" customHeight="1">
      <c r="A24" s="476" t="s">
        <v>157</v>
      </c>
      <c r="B24" s="305">
        <v>11207</v>
      </c>
      <c r="C24" s="477">
        <v>9016</v>
      </c>
      <c r="D24" s="233">
        <f t="shared" si="5"/>
        <v>24.301242236024844</v>
      </c>
      <c r="F24" s="186">
        <f t="shared" si="2"/>
        <v>915</v>
      </c>
      <c r="G24" s="478">
        <v>915</v>
      </c>
      <c r="H24" s="186"/>
      <c r="K24" s="38">
        <v>915</v>
      </c>
    </row>
    <row r="25" spans="1:256" s="38" customFormat="1" ht="24.75" customHeight="1">
      <c r="A25" s="480" t="s">
        <v>158</v>
      </c>
      <c r="B25" s="314">
        <v>2837</v>
      </c>
      <c r="C25" s="481">
        <v>838</v>
      </c>
      <c r="D25" s="482">
        <f t="shared" si="5"/>
        <v>238.54415274463005</v>
      </c>
      <c r="F25" s="186">
        <f t="shared" si="2"/>
        <v>833</v>
      </c>
      <c r="G25" s="478">
        <v>833</v>
      </c>
      <c r="H25" s="186"/>
      <c r="K25" s="38">
        <v>2415</v>
      </c>
    </row>
    <row r="26" spans="1:256" s="38" customFormat="1" ht="24.75" customHeight="1">
      <c r="A26" s="41" t="s">
        <v>159</v>
      </c>
      <c r="B26" s="305">
        <f t="shared" ref="B26:C26" si="6">SUM(B4:B25)</f>
        <v>470378</v>
      </c>
      <c r="C26" s="477">
        <f t="shared" si="6"/>
        <v>504826</v>
      </c>
      <c r="D26" s="233">
        <f t="shared" si="5"/>
        <v>-6.823737287699128</v>
      </c>
      <c r="F26" s="186">
        <f t="shared" si="2"/>
        <v>488346</v>
      </c>
      <c r="G26" s="478">
        <f>SUM(G4:G25)</f>
        <v>488346</v>
      </c>
      <c r="H26" s="478">
        <f>SUM(H4:H25)</f>
        <v>0</v>
      </c>
      <c r="K26" s="38">
        <v>448998</v>
      </c>
    </row>
    <row r="27" spans="1:256" ht="75" customHeight="1">
      <c r="A27" s="548" t="s">
        <v>169</v>
      </c>
      <c r="B27" s="548"/>
      <c r="C27" s="548"/>
      <c r="D27" s="548"/>
    </row>
    <row r="28" spans="1:256" ht="14.25" customHeight="1">
      <c r="A28" s="483"/>
      <c r="B28" s="483"/>
      <c r="C28" s="483"/>
      <c r="D28" s="483"/>
    </row>
    <row r="29" spans="1:256" ht="6" hidden="1" customHeight="1">
      <c r="A29" s="484"/>
      <c r="B29" s="484"/>
      <c r="C29" s="484"/>
      <c r="D29" s="484"/>
    </row>
    <row r="30" spans="1:256" customFormat="1">
      <c r="A30" s="227"/>
      <c r="B30" s="227"/>
      <c r="C30" s="471"/>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227"/>
      <c r="BG30" s="227"/>
      <c r="BH30" s="227"/>
      <c r="BI30" s="227"/>
      <c r="BJ30" s="227"/>
      <c r="BK30" s="227"/>
      <c r="BL30" s="227"/>
      <c r="BM30" s="227"/>
      <c r="BN30" s="227"/>
      <c r="BO30" s="227"/>
      <c r="BP30" s="227"/>
      <c r="BQ30" s="227"/>
      <c r="BR30" s="227"/>
      <c r="BS30" s="227"/>
      <c r="BT30" s="227"/>
      <c r="BU30" s="227"/>
      <c r="BV30" s="227"/>
      <c r="BW30" s="227"/>
      <c r="BX30" s="227"/>
      <c r="BY30" s="227"/>
      <c r="BZ30" s="227"/>
      <c r="CA30" s="227"/>
      <c r="CB30" s="227"/>
      <c r="CC30" s="227"/>
      <c r="CD30" s="227"/>
      <c r="CE30" s="227"/>
      <c r="CF30" s="227"/>
      <c r="CG30" s="227"/>
      <c r="CH30" s="227"/>
      <c r="CI30" s="227"/>
      <c r="CJ30" s="227"/>
      <c r="CK30" s="227"/>
      <c r="CL30" s="227"/>
      <c r="CM30" s="227"/>
      <c r="CN30" s="227"/>
      <c r="CO30" s="227"/>
      <c r="CP30" s="227"/>
      <c r="CQ30" s="227"/>
      <c r="CR30" s="227"/>
      <c r="CS30" s="227"/>
      <c r="CT30" s="227"/>
      <c r="CU30" s="227"/>
      <c r="CV30" s="227"/>
      <c r="CW30" s="227"/>
      <c r="CX30" s="227"/>
      <c r="CY30" s="227"/>
      <c r="CZ30" s="227"/>
      <c r="DA30" s="227"/>
      <c r="DB30" s="227"/>
      <c r="DC30" s="227"/>
      <c r="DD30" s="227"/>
      <c r="DE30" s="227"/>
      <c r="DF30" s="227"/>
      <c r="DG30" s="227"/>
      <c r="DH30" s="227"/>
      <c r="DI30" s="227"/>
      <c r="DJ30" s="227"/>
      <c r="DK30" s="227"/>
      <c r="DL30" s="227"/>
      <c r="DM30" s="227"/>
      <c r="DN30" s="227"/>
      <c r="DO30" s="227"/>
      <c r="DP30" s="227"/>
      <c r="DQ30" s="227"/>
      <c r="DR30" s="227"/>
      <c r="DS30" s="227"/>
      <c r="DT30" s="227"/>
      <c r="DU30" s="227"/>
      <c r="DV30" s="227"/>
      <c r="DW30" s="227"/>
      <c r="DX30" s="227"/>
      <c r="DY30" s="227"/>
      <c r="DZ30" s="227"/>
      <c r="EA30" s="227"/>
      <c r="EB30" s="227"/>
      <c r="EC30" s="227"/>
      <c r="ED30" s="227"/>
      <c r="EE30" s="227"/>
      <c r="EF30" s="227"/>
      <c r="EG30" s="227"/>
      <c r="EH30" s="227"/>
      <c r="EI30" s="227"/>
      <c r="EJ30" s="227"/>
      <c r="EK30" s="227"/>
      <c r="EL30" s="227"/>
      <c r="EM30" s="227"/>
      <c r="EN30" s="227"/>
      <c r="EO30" s="227"/>
      <c r="EP30" s="227"/>
      <c r="EQ30" s="227"/>
      <c r="ER30" s="227"/>
      <c r="ES30" s="227"/>
      <c r="ET30" s="227"/>
      <c r="EU30" s="227"/>
      <c r="EV30" s="227"/>
      <c r="EW30" s="227"/>
      <c r="EX30" s="227"/>
      <c r="EY30" s="227"/>
      <c r="EZ30" s="227"/>
      <c r="FA30" s="227"/>
      <c r="FB30" s="227"/>
      <c r="FC30" s="227"/>
      <c r="FD30" s="227"/>
      <c r="FE30" s="227"/>
      <c r="FF30" s="227"/>
      <c r="FG30" s="227"/>
      <c r="FH30" s="227"/>
      <c r="FI30" s="227"/>
      <c r="FJ30" s="227"/>
      <c r="FK30" s="227"/>
      <c r="FL30" s="227"/>
      <c r="FM30" s="227"/>
      <c r="FN30" s="227"/>
      <c r="FO30" s="227"/>
      <c r="FP30" s="227"/>
      <c r="FQ30" s="227"/>
      <c r="FR30" s="227"/>
      <c r="FS30" s="227"/>
      <c r="FT30" s="227"/>
      <c r="FU30" s="227"/>
      <c r="FV30" s="227"/>
      <c r="FW30" s="227"/>
      <c r="FX30" s="227"/>
      <c r="FY30" s="227"/>
      <c r="FZ30" s="227"/>
      <c r="GA30" s="227"/>
      <c r="GB30" s="227"/>
      <c r="GC30" s="227"/>
      <c r="GD30" s="227"/>
      <c r="GE30" s="227"/>
      <c r="GF30" s="227"/>
      <c r="GG30" s="227"/>
      <c r="GH30" s="227"/>
      <c r="GI30" s="227"/>
      <c r="GJ30" s="227"/>
      <c r="GK30" s="227"/>
      <c r="GL30" s="227"/>
      <c r="GM30" s="227"/>
      <c r="GN30" s="227"/>
      <c r="GO30" s="227"/>
      <c r="GP30" s="227"/>
      <c r="GQ30" s="227"/>
      <c r="GR30" s="227"/>
      <c r="GS30" s="227"/>
      <c r="GT30" s="227"/>
      <c r="GU30" s="227"/>
      <c r="GV30" s="227"/>
      <c r="GW30" s="227"/>
      <c r="GX30" s="227"/>
      <c r="GY30" s="227"/>
      <c r="GZ30" s="227"/>
      <c r="HA30" s="227"/>
      <c r="HB30" s="227"/>
      <c r="HC30" s="227"/>
      <c r="HD30" s="227"/>
      <c r="HE30" s="227"/>
      <c r="HF30" s="227"/>
      <c r="HG30" s="227"/>
      <c r="HH30" s="227"/>
      <c r="HI30" s="227"/>
      <c r="HJ30" s="227"/>
      <c r="HK30" s="227"/>
      <c r="HL30" s="227"/>
      <c r="HM30" s="227"/>
      <c r="HN30" s="227"/>
      <c r="HO30" s="227"/>
      <c r="HP30" s="227"/>
      <c r="HQ30" s="227"/>
      <c r="HR30" s="227"/>
      <c r="HS30" s="227"/>
      <c r="HT30" s="227"/>
      <c r="HU30" s="227"/>
      <c r="HV30" s="227"/>
      <c r="HW30" s="227"/>
      <c r="HX30" s="227"/>
      <c r="HY30" s="227"/>
      <c r="HZ30" s="227"/>
      <c r="IA30" s="227"/>
      <c r="IB30" s="227"/>
      <c r="IC30" s="227"/>
      <c r="ID30" s="227"/>
      <c r="IE30" s="227"/>
      <c r="IF30" s="227"/>
      <c r="IG30" s="227"/>
      <c r="IH30" s="227"/>
      <c r="II30" s="227"/>
      <c r="IJ30" s="227"/>
      <c r="IK30" s="227"/>
      <c r="IL30" s="227"/>
      <c r="IM30" s="227"/>
      <c r="IN30" s="227"/>
      <c r="IO30" s="227"/>
      <c r="IP30" s="227"/>
      <c r="IQ30" s="227"/>
      <c r="IR30" s="227"/>
      <c r="IS30" s="227"/>
      <c r="IT30" s="227"/>
      <c r="IU30" s="227"/>
      <c r="IV30" s="227"/>
    </row>
    <row r="31" spans="1:256" customFormat="1">
      <c r="A31" s="227"/>
      <c r="B31" s="227"/>
      <c r="C31" s="471"/>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S31" s="227"/>
      <c r="BT31" s="227"/>
      <c r="BU31" s="227"/>
      <c r="BV31" s="227"/>
      <c r="BW31" s="227"/>
      <c r="BX31" s="227"/>
      <c r="BY31" s="227"/>
      <c r="BZ31" s="227"/>
      <c r="CA31" s="227"/>
      <c r="CB31" s="227"/>
      <c r="CC31" s="227"/>
      <c r="CD31" s="227"/>
      <c r="CE31" s="227"/>
      <c r="CF31" s="227"/>
      <c r="CG31" s="227"/>
      <c r="CH31" s="227"/>
      <c r="CI31" s="227"/>
      <c r="CJ31" s="227"/>
      <c r="CK31" s="227"/>
      <c r="CL31" s="227"/>
      <c r="CM31" s="227"/>
      <c r="CN31" s="227"/>
      <c r="CO31" s="227"/>
      <c r="CP31" s="227"/>
      <c r="CQ31" s="227"/>
      <c r="CR31" s="227"/>
      <c r="CS31" s="227"/>
      <c r="CT31" s="227"/>
      <c r="CU31" s="227"/>
      <c r="CV31" s="227"/>
      <c r="CW31" s="227"/>
      <c r="CX31" s="227"/>
      <c r="CY31" s="227"/>
      <c r="CZ31" s="227"/>
      <c r="DA31" s="227"/>
      <c r="DB31" s="227"/>
      <c r="DC31" s="227"/>
      <c r="DD31" s="227"/>
      <c r="DE31" s="227"/>
      <c r="DF31" s="227"/>
      <c r="DG31" s="227"/>
      <c r="DH31" s="227"/>
      <c r="DI31" s="227"/>
      <c r="DJ31" s="227"/>
      <c r="DK31" s="227"/>
      <c r="DL31" s="227"/>
      <c r="DM31" s="227"/>
      <c r="DN31" s="227"/>
      <c r="DO31" s="227"/>
      <c r="DP31" s="227"/>
      <c r="DQ31" s="227"/>
      <c r="DR31" s="227"/>
      <c r="DS31" s="227"/>
      <c r="DT31" s="227"/>
      <c r="DU31" s="227"/>
      <c r="DV31" s="227"/>
      <c r="DW31" s="227"/>
      <c r="DX31" s="227"/>
      <c r="DY31" s="227"/>
      <c r="DZ31" s="227"/>
      <c r="EA31" s="227"/>
      <c r="EB31" s="227"/>
      <c r="EC31" s="227"/>
      <c r="ED31" s="227"/>
      <c r="EE31" s="227"/>
      <c r="EF31" s="227"/>
      <c r="EG31" s="227"/>
      <c r="EH31" s="227"/>
      <c r="EI31" s="227"/>
      <c r="EJ31" s="227"/>
      <c r="EK31" s="227"/>
      <c r="EL31" s="227"/>
      <c r="EM31" s="227"/>
      <c r="EN31" s="227"/>
      <c r="EO31" s="227"/>
      <c r="EP31" s="227"/>
      <c r="EQ31" s="227"/>
      <c r="ER31" s="227"/>
      <c r="ES31" s="227"/>
      <c r="ET31" s="227"/>
      <c r="EU31" s="227"/>
      <c r="EV31" s="227"/>
      <c r="EW31" s="227"/>
      <c r="EX31" s="227"/>
      <c r="EY31" s="227"/>
      <c r="EZ31" s="227"/>
      <c r="FA31" s="227"/>
      <c r="FB31" s="227"/>
      <c r="FC31" s="227"/>
      <c r="FD31" s="227"/>
      <c r="FE31" s="227"/>
      <c r="FF31" s="227"/>
      <c r="FG31" s="227"/>
      <c r="FH31" s="227"/>
      <c r="FI31" s="227"/>
      <c r="FJ31" s="227"/>
      <c r="FK31" s="227"/>
      <c r="FL31" s="227"/>
      <c r="FM31" s="227"/>
      <c r="FN31" s="227"/>
      <c r="FO31" s="227"/>
      <c r="FP31" s="227"/>
      <c r="FQ31" s="227"/>
      <c r="FR31" s="227"/>
      <c r="FS31" s="227"/>
      <c r="FT31" s="227"/>
      <c r="FU31" s="227"/>
      <c r="FV31" s="227"/>
      <c r="FW31" s="227"/>
      <c r="FX31" s="227"/>
      <c r="FY31" s="227"/>
      <c r="FZ31" s="227"/>
      <c r="GA31" s="227"/>
      <c r="GB31" s="227"/>
      <c r="GC31" s="227"/>
      <c r="GD31" s="227"/>
      <c r="GE31" s="227"/>
      <c r="GF31" s="227"/>
      <c r="GG31" s="227"/>
      <c r="GH31" s="227"/>
      <c r="GI31" s="227"/>
      <c r="GJ31" s="227"/>
      <c r="GK31" s="227"/>
      <c r="GL31" s="227"/>
      <c r="GM31" s="227"/>
      <c r="GN31" s="227"/>
      <c r="GO31" s="227"/>
      <c r="GP31" s="227"/>
      <c r="GQ31" s="227"/>
      <c r="GR31" s="227"/>
      <c r="GS31" s="227"/>
      <c r="GT31" s="227"/>
      <c r="GU31" s="227"/>
      <c r="GV31" s="227"/>
      <c r="GW31" s="227"/>
      <c r="GX31" s="227"/>
      <c r="GY31" s="227"/>
      <c r="GZ31" s="227"/>
      <c r="HA31" s="227"/>
      <c r="HB31" s="227"/>
      <c r="HC31" s="227"/>
      <c r="HD31" s="227"/>
      <c r="HE31" s="227"/>
      <c r="HF31" s="227"/>
      <c r="HG31" s="227"/>
      <c r="HH31" s="227"/>
      <c r="HI31" s="227"/>
      <c r="HJ31" s="227"/>
      <c r="HK31" s="227"/>
      <c r="HL31" s="227"/>
      <c r="HM31" s="227"/>
      <c r="HN31" s="227"/>
      <c r="HO31" s="227"/>
      <c r="HP31" s="227"/>
      <c r="HQ31" s="227"/>
      <c r="HR31" s="227"/>
      <c r="HS31" s="227"/>
      <c r="HT31" s="227"/>
      <c r="HU31" s="227"/>
      <c r="HV31" s="227"/>
      <c r="HW31" s="227"/>
      <c r="HX31" s="227"/>
      <c r="HY31" s="227"/>
      <c r="HZ31" s="227"/>
      <c r="IA31" s="227"/>
      <c r="IB31" s="227"/>
      <c r="IC31" s="227"/>
      <c r="ID31" s="227"/>
      <c r="IE31" s="227"/>
      <c r="IF31" s="227"/>
      <c r="IG31" s="227"/>
      <c r="IH31" s="227"/>
      <c r="II31" s="227"/>
      <c r="IJ31" s="227"/>
      <c r="IK31" s="227"/>
      <c r="IL31" s="227"/>
      <c r="IM31" s="227"/>
      <c r="IN31" s="227"/>
      <c r="IO31" s="227"/>
      <c r="IP31" s="227"/>
      <c r="IQ31" s="227"/>
      <c r="IR31" s="227"/>
      <c r="IS31" s="227"/>
      <c r="IT31" s="227"/>
      <c r="IU31" s="227"/>
      <c r="IV31" s="227"/>
    </row>
    <row r="32" spans="1:256" customFormat="1">
      <c r="A32" s="227"/>
      <c r="B32" s="227"/>
      <c r="C32" s="471"/>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S32" s="227"/>
      <c r="BT32" s="227"/>
      <c r="BU32" s="227"/>
      <c r="BV32" s="227"/>
      <c r="BW32" s="227"/>
      <c r="BX32" s="227"/>
      <c r="BY32" s="227"/>
      <c r="BZ32" s="227"/>
      <c r="CA32" s="227"/>
      <c r="CB32" s="227"/>
      <c r="CC32" s="227"/>
      <c r="CD32" s="227"/>
      <c r="CE32" s="227"/>
      <c r="CF32" s="227"/>
      <c r="CG32" s="227"/>
      <c r="CH32" s="227"/>
      <c r="CI32" s="227"/>
      <c r="CJ32" s="227"/>
      <c r="CK32" s="227"/>
      <c r="CL32" s="227"/>
      <c r="CM32" s="227"/>
      <c r="CN32" s="227"/>
      <c r="CO32" s="227"/>
      <c r="CP32" s="227"/>
      <c r="CQ32" s="227"/>
      <c r="CR32" s="227"/>
      <c r="CS32" s="227"/>
      <c r="CT32" s="227"/>
      <c r="CU32" s="227"/>
      <c r="CV32" s="227"/>
      <c r="CW32" s="227"/>
      <c r="CX32" s="227"/>
      <c r="CY32" s="227"/>
      <c r="CZ32" s="227"/>
      <c r="DA32" s="227"/>
      <c r="DB32" s="227"/>
      <c r="DC32" s="227"/>
      <c r="DD32" s="227"/>
      <c r="DE32" s="227"/>
      <c r="DF32" s="227"/>
      <c r="DG32" s="227"/>
      <c r="DH32" s="227"/>
      <c r="DI32" s="227"/>
      <c r="DJ32" s="227"/>
      <c r="DK32" s="227"/>
      <c r="DL32" s="227"/>
      <c r="DM32" s="227"/>
      <c r="DN32" s="227"/>
      <c r="DO32" s="227"/>
      <c r="DP32" s="227"/>
      <c r="DQ32" s="227"/>
      <c r="DR32" s="227"/>
      <c r="DS32" s="227"/>
      <c r="DT32" s="227"/>
      <c r="DU32" s="227"/>
      <c r="DV32" s="227"/>
      <c r="DW32" s="227"/>
      <c r="DX32" s="227"/>
      <c r="DY32" s="227"/>
      <c r="DZ32" s="227"/>
      <c r="EA32" s="227"/>
      <c r="EB32" s="227"/>
      <c r="EC32" s="227"/>
      <c r="ED32" s="227"/>
      <c r="EE32" s="227"/>
      <c r="EF32" s="227"/>
      <c r="EG32" s="227"/>
      <c r="EH32" s="227"/>
      <c r="EI32" s="227"/>
      <c r="EJ32" s="227"/>
      <c r="EK32" s="227"/>
      <c r="EL32" s="227"/>
      <c r="EM32" s="227"/>
      <c r="EN32" s="227"/>
      <c r="EO32" s="227"/>
      <c r="EP32" s="227"/>
      <c r="EQ32" s="227"/>
      <c r="ER32" s="227"/>
      <c r="ES32" s="227"/>
      <c r="ET32" s="227"/>
      <c r="EU32" s="227"/>
      <c r="EV32" s="227"/>
      <c r="EW32" s="227"/>
      <c r="EX32" s="227"/>
      <c r="EY32" s="227"/>
      <c r="EZ32" s="227"/>
      <c r="FA32" s="227"/>
      <c r="FB32" s="227"/>
      <c r="FC32" s="227"/>
      <c r="FD32" s="227"/>
      <c r="FE32" s="227"/>
      <c r="FF32" s="227"/>
      <c r="FG32" s="227"/>
      <c r="FH32" s="227"/>
      <c r="FI32" s="227"/>
      <c r="FJ32" s="227"/>
      <c r="FK32" s="227"/>
      <c r="FL32" s="227"/>
      <c r="FM32" s="227"/>
      <c r="FN32" s="227"/>
      <c r="FO32" s="227"/>
      <c r="FP32" s="227"/>
      <c r="FQ32" s="227"/>
      <c r="FR32" s="227"/>
      <c r="FS32" s="227"/>
      <c r="FT32" s="227"/>
      <c r="FU32" s="227"/>
      <c r="FV32" s="227"/>
      <c r="FW32" s="227"/>
      <c r="FX32" s="227"/>
      <c r="FY32" s="227"/>
      <c r="FZ32" s="227"/>
      <c r="GA32" s="227"/>
      <c r="GB32" s="227"/>
      <c r="GC32" s="227"/>
      <c r="GD32" s="227"/>
      <c r="GE32" s="227"/>
      <c r="GF32" s="227"/>
      <c r="GG32" s="227"/>
      <c r="GH32" s="227"/>
      <c r="GI32" s="227"/>
      <c r="GJ32" s="227"/>
      <c r="GK32" s="227"/>
      <c r="GL32" s="227"/>
      <c r="GM32" s="227"/>
      <c r="GN32" s="227"/>
      <c r="GO32" s="227"/>
      <c r="GP32" s="227"/>
      <c r="GQ32" s="227"/>
      <c r="GR32" s="227"/>
      <c r="GS32" s="227"/>
      <c r="GT32" s="227"/>
      <c r="GU32" s="227"/>
      <c r="GV32" s="227"/>
      <c r="GW32" s="227"/>
      <c r="GX32" s="227"/>
      <c r="GY32" s="227"/>
      <c r="GZ32" s="227"/>
      <c r="HA32" s="227"/>
      <c r="HB32" s="227"/>
      <c r="HC32" s="227"/>
      <c r="HD32" s="227"/>
      <c r="HE32" s="227"/>
      <c r="HF32" s="227"/>
      <c r="HG32" s="227"/>
      <c r="HH32" s="227"/>
      <c r="HI32" s="227"/>
      <c r="HJ32" s="227"/>
      <c r="HK32" s="227"/>
      <c r="HL32" s="227"/>
      <c r="HM32" s="227"/>
      <c r="HN32" s="227"/>
      <c r="HO32" s="227"/>
      <c r="HP32" s="227"/>
      <c r="HQ32" s="227"/>
      <c r="HR32" s="227"/>
      <c r="HS32" s="227"/>
      <c r="HT32" s="227"/>
      <c r="HU32" s="227"/>
      <c r="HV32" s="227"/>
      <c r="HW32" s="227"/>
      <c r="HX32" s="227"/>
      <c r="HY32" s="227"/>
      <c r="HZ32" s="227"/>
      <c r="IA32" s="227"/>
      <c r="IB32" s="227"/>
      <c r="IC32" s="227"/>
      <c r="ID32" s="227"/>
      <c r="IE32" s="227"/>
      <c r="IF32" s="227"/>
      <c r="IG32" s="227"/>
      <c r="IH32" s="227"/>
      <c r="II32" s="227"/>
      <c r="IJ32" s="227"/>
      <c r="IK32" s="227"/>
      <c r="IL32" s="227"/>
      <c r="IM32" s="227"/>
      <c r="IN32" s="227"/>
      <c r="IO32" s="227"/>
      <c r="IP32" s="227"/>
      <c r="IQ32" s="227"/>
      <c r="IR32" s="227"/>
      <c r="IS32" s="227"/>
      <c r="IT32" s="227"/>
      <c r="IU32" s="227"/>
      <c r="IV32" s="227"/>
    </row>
    <row r="33" spans="1:256" customFormat="1">
      <c r="A33" s="227"/>
      <c r="B33" s="227"/>
      <c r="C33" s="471"/>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S33" s="227"/>
      <c r="BT33" s="227"/>
      <c r="BU33" s="227"/>
      <c r="BV33" s="227"/>
      <c r="BW33" s="227"/>
      <c r="BX33" s="227"/>
      <c r="BY33" s="227"/>
      <c r="BZ33" s="227"/>
      <c r="CA33" s="227"/>
      <c r="CB33" s="227"/>
      <c r="CC33" s="227"/>
      <c r="CD33" s="227"/>
      <c r="CE33" s="227"/>
      <c r="CF33" s="227"/>
      <c r="CG33" s="227"/>
      <c r="CH33" s="227"/>
      <c r="CI33" s="227"/>
      <c r="CJ33" s="227"/>
      <c r="CK33" s="227"/>
      <c r="CL33" s="227"/>
      <c r="CM33" s="227"/>
      <c r="CN33" s="227"/>
      <c r="CO33" s="227"/>
      <c r="CP33" s="227"/>
      <c r="CQ33" s="227"/>
      <c r="CR33" s="227"/>
      <c r="CS33" s="227"/>
      <c r="CT33" s="227"/>
      <c r="CU33" s="227"/>
      <c r="CV33" s="227"/>
      <c r="CW33" s="227"/>
      <c r="CX33" s="227"/>
      <c r="CY33" s="227"/>
      <c r="CZ33" s="227"/>
      <c r="DA33" s="227"/>
      <c r="DB33" s="227"/>
      <c r="DC33" s="227"/>
      <c r="DD33" s="227"/>
      <c r="DE33" s="227"/>
      <c r="DF33" s="227"/>
      <c r="DG33" s="227"/>
      <c r="DH33" s="227"/>
      <c r="DI33" s="227"/>
      <c r="DJ33" s="227"/>
      <c r="DK33" s="227"/>
      <c r="DL33" s="227"/>
      <c r="DM33" s="227"/>
      <c r="DN33" s="227"/>
      <c r="DO33" s="227"/>
      <c r="DP33" s="227"/>
      <c r="DQ33" s="227"/>
      <c r="DR33" s="227"/>
      <c r="DS33" s="227"/>
      <c r="DT33" s="227"/>
      <c r="DU33" s="227"/>
      <c r="DV33" s="227"/>
      <c r="DW33" s="227"/>
      <c r="DX33" s="227"/>
      <c r="DY33" s="227"/>
      <c r="DZ33" s="227"/>
      <c r="EA33" s="227"/>
      <c r="EB33" s="227"/>
      <c r="EC33" s="227"/>
      <c r="ED33" s="227"/>
      <c r="EE33" s="227"/>
      <c r="EF33" s="227"/>
      <c r="EG33" s="227"/>
      <c r="EH33" s="227"/>
      <c r="EI33" s="227"/>
      <c r="EJ33" s="227"/>
      <c r="EK33" s="227"/>
      <c r="EL33" s="227"/>
      <c r="EM33" s="227"/>
      <c r="EN33" s="227"/>
      <c r="EO33" s="227"/>
      <c r="EP33" s="227"/>
      <c r="EQ33" s="227"/>
      <c r="ER33" s="227"/>
      <c r="ES33" s="227"/>
      <c r="ET33" s="227"/>
      <c r="EU33" s="227"/>
      <c r="EV33" s="227"/>
      <c r="EW33" s="227"/>
      <c r="EX33" s="227"/>
      <c r="EY33" s="227"/>
      <c r="EZ33" s="227"/>
      <c r="FA33" s="227"/>
      <c r="FB33" s="227"/>
      <c r="FC33" s="227"/>
      <c r="FD33" s="227"/>
      <c r="FE33" s="227"/>
      <c r="FF33" s="227"/>
      <c r="FG33" s="227"/>
      <c r="FH33" s="227"/>
      <c r="FI33" s="227"/>
      <c r="FJ33" s="227"/>
      <c r="FK33" s="227"/>
      <c r="FL33" s="227"/>
      <c r="FM33" s="227"/>
      <c r="FN33" s="227"/>
      <c r="FO33" s="227"/>
      <c r="FP33" s="227"/>
      <c r="FQ33" s="227"/>
      <c r="FR33" s="227"/>
      <c r="FS33" s="227"/>
      <c r="FT33" s="227"/>
      <c r="FU33" s="227"/>
      <c r="FV33" s="227"/>
      <c r="FW33" s="227"/>
      <c r="FX33" s="227"/>
      <c r="FY33" s="227"/>
      <c r="FZ33" s="227"/>
      <c r="GA33" s="227"/>
      <c r="GB33" s="227"/>
      <c r="GC33" s="227"/>
      <c r="GD33" s="227"/>
      <c r="GE33" s="227"/>
      <c r="GF33" s="227"/>
      <c r="GG33" s="227"/>
      <c r="GH33" s="227"/>
      <c r="GI33" s="227"/>
      <c r="GJ33" s="227"/>
      <c r="GK33" s="227"/>
      <c r="GL33" s="227"/>
      <c r="GM33" s="227"/>
      <c r="GN33" s="227"/>
      <c r="GO33" s="227"/>
      <c r="GP33" s="227"/>
      <c r="GQ33" s="227"/>
      <c r="GR33" s="227"/>
      <c r="GS33" s="227"/>
      <c r="GT33" s="227"/>
      <c r="GU33" s="227"/>
      <c r="GV33" s="227"/>
      <c r="GW33" s="227"/>
      <c r="GX33" s="227"/>
      <c r="GY33" s="227"/>
      <c r="GZ33" s="227"/>
      <c r="HA33" s="227"/>
      <c r="HB33" s="227"/>
      <c r="HC33" s="227"/>
      <c r="HD33" s="227"/>
      <c r="HE33" s="227"/>
      <c r="HF33" s="227"/>
      <c r="HG33" s="227"/>
      <c r="HH33" s="227"/>
      <c r="HI33" s="227"/>
      <c r="HJ33" s="227"/>
      <c r="HK33" s="227"/>
      <c r="HL33" s="227"/>
      <c r="HM33" s="227"/>
      <c r="HN33" s="227"/>
      <c r="HO33" s="227"/>
      <c r="HP33" s="227"/>
      <c r="HQ33" s="227"/>
      <c r="HR33" s="227"/>
      <c r="HS33" s="227"/>
      <c r="HT33" s="227"/>
      <c r="HU33" s="227"/>
      <c r="HV33" s="227"/>
      <c r="HW33" s="227"/>
      <c r="HX33" s="227"/>
      <c r="HY33" s="227"/>
      <c r="HZ33" s="227"/>
      <c r="IA33" s="227"/>
      <c r="IB33" s="227"/>
      <c r="IC33" s="227"/>
      <c r="ID33" s="227"/>
      <c r="IE33" s="227"/>
      <c r="IF33" s="227"/>
      <c r="IG33" s="227"/>
      <c r="IH33" s="227"/>
      <c r="II33" s="227"/>
      <c r="IJ33" s="227"/>
      <c r="IK33" s="227"/>
      <c r="IL33" s="227"/>
      <c r="IM33" s="227"/>
      <c r="IN33" s="227"/>
      <c r="IO33" s="227"/>
      <c r="IP33" s="227"/>
      <c r="IQ33" s="227"/>
      <c r="IR33" s="227"/>
      <c r="IS33" s="227"/>
      <c r="IT33" s="227"/>
      <c r="IU33" s="227"/>
      <c r="IV33" s="227"/>
    </row>
    <row r="34" spans="1:256" customFormat="1">
      <c r="A34" s="227"/>
      <c r="B34" s="227"/>
      <c r="C34" s="471"/>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7"/>
      <c r="BH34" s="227"/>
      <c r="BI34" s="227"/>
      <c r="BJ34" s="227"/>
      <c r="BK34" s="227"/>
      <c r="BL34" s="227"/>
      <c r="BM34" s="227"/>
      <c r="BN34" s="227"/>
      <c r="BO34" s="227"/>
      <c r="BP34" s="227"/>
      <c r="BQ34" s="227"/>
      <c r="BR34" s="227"/>
      <c r="BS34" s="227"/>
      <c r="BT34" s="227"/>
      <c r="BU34" s="227"/>
      <c r="BV34" s="227"/>
      <c r="BW34" s="227"/>
      <c r="BX34" s="227"/>
      <c r="BY34" s="227"/>
      <c r="BZ34" s="227"/>
      <c r="CA34" s="227"/>
      <c r="CB34" s="227"/>
      <c r="CC34" s="227"/>
      <c r="CD34" s="227"/>
      <c r="CE34" s="227"/>
      <c r="CF34" s="227"/>
      <c r="CG34" s="227"/>
      <c r="CH34" s="227"/>
      <c r="CI34" s="227"/>
      <c r="CJ34" s="227"/>
      <c r="CK34" s="227"/>
      <c r="CL34" s="227"/>
      <c r="CM34" s="227"/>
      <c r="CN34" s="227"/>
      <c r="CO34" s="227"/>
      <c r="CP34" s="227"/>
      <c r="CQ34" s="227"/>
      <c r="CR34" s="227"/>
      <c r="CS34" s="227"/>
      <c r="CT34" s="227"/>
      <c r="CU34" s="227"/>
      <c r="CV34" s="227"/>
      <c r="CW34" s="227"/>
      <c r="CX34" s="227"/>
      <c r="CY34" s="227"/>
      <c r="CZ34" s="227"/>
      <c r="DA34" s="227"/>
      <c r="DB34" s="227"/>
      <c r="DC34" s="227"/>
      <c r="DD34" s="227"/>
      <c r="DE34" s="227"/>
      <c r="DF34" s="227"/>
      <c r="DG34" s="227"/>
      <c r="DH34" s="227"/>
      <c r="DI34" s="227"/>
      <c r="DJ34" s="227"/>
      <c r="DK34" s="227"/>
      <c r="DL34" s="227"/>
      <c r="DM34" s="227"/>
      <c r="DN34" s="227"/>
      <c r="DO34" s="227"/>
      <c r="DP34" s="227"/>
      <c r="DQ34" s="227"/>
      <c r="DR34" s="227"/>
      <c r="DS34" s="227"/>
      <c r="DT34" s="227"/>
      <c r="DU34" s="227"/>
      <c r="DV34" s="227"/>
      <c r="DW34" s="227"/>
      <c r="DX34" s="227"/>
      <c r="DY34" s="227"/>
      <c r="DZ34" s="227"/>
      <c r="EA34" s="227"/>
      <c r="EB34" s="227"/>
      <c r="EC34" s="227"/>
      <c r="ED34" s="227"/>
      <c r="EE34" s="227"/>
      <c r="EF34" s="227"/>
      <c r="EG34" s="227"/>
      <c r="EH34" s="227"/>
      <c r="EI34" s="227"/>
      <c r="EJ34" s="227"/>
      <c r="EK34" s="227"/>
      <c r="EL34" s="227"/>
      <c r="EM34" s="227"/>
      <c r="EN34" s="227"/>
      <c r="EO34" s="227"/>
      <c r="EP34" s="227"/>
      <c r="EQ34" s="227"/>
      <c r="ER34" s="227"/>
      <c r="ES34" s="227"/>
      <c r="ET34" s="227"/>
      <c r="EU34" s="227"/>
      <c r="EV34" s="227"/>
      <c r="EW34" s="227"/>
      <c r="EX34" s="227"/>
      <c r="EY34" s="227"/>
      <c r="EZ34" s="227"/>
      <c r="FA34" s="227"/>
      <c r="FB34" s="227"/>
      <c r="FC34" s="227"/>
      <c r="FD34" s="227"/>
      <c r="FE34" s="227"/>
      <c r="FF34" s="227"/>
      <c r="FG34" s="227"/>
      <c r="FH34" s="227"/>
      <c r="FI34" s="227"/>
      <c r="FJ34" s="227"/>
      <c r="FK34" s="227"/>
      <c r="FL34" s="227"/>
      <c r="FM34" s="227"/>
      <c r="FN34" s="227"/>
      <c r="FO34" s="227"/>
      <c r="FP34" s="227"/>
      <c r="FQ34" s="227"/>
      <c r="FR34" s="227"/>
      <c r="FS34" s="227"/>
      <c r="FT34" s="227"/>
      <c r="FU34" s="227"/>
      <c r="FV34" s="227"/>
      <c r="FW34" s="227"/>
      <c r="FX34" s="227"/>
      <c r="FY34" s="227"/>
      <c r="FZ34" s="227"/>
      <c r="GA34" s="227"/>
      <c r="GB34" s="227"/>
      <c r="GC34" s="227"/>
      <c r="GD34" s="227"/>
      <c r="GE34" s="227"/>
      <c r="GF34" s="227"/>
      <c r="GG34" s="227"/>
      <c r="GH34" s="227"/>
      <c r="GI34" s="227"/>
      <c r="GJ34" s="227"/>
      <c r="GK34" s="227"/>
      <c r="GL34" s="227"/>
      <c r="GM34" s="227"/>
      <c r="GN34" s="227"/>
      <c r="GO34" s="227"/>
      <c r="GP34" s="227"/>
      <c r="GQ34" s="227"/>
      <c r="GR34" s="227"/>
      <c r="GS34" s="227"/>
      <c r="GT34" s="227"/>
      <c r="GU34" s="227"/>
      <c r="GV34" s="227"/>
      <c r="GW34" s="227"/>
      <c r="GX34" s="227"/>
      <c r="GY34" s="227"/>
      <c r="GZ34" s="227"/>
      <c r="HA34" s="227"/>
      <c r="HB34" s="227"/>
      <c r="HC34" s="227"/>
      <c r="HD34" s="227"/>
      <c r="HE34" s="227"/>
      <c r="HF34" s="227"/>
      <c r="HG34" s="227"/>
      <c r="HH34" s="227"/>
      <c r="HI34" s="227"/>
      <c r="HJ34" s="227"/>
      <c r="HK34" s="227"/>
      <c r="HL34" s="227"/>
      <c r="HM34" s="227"/>
      <c r="HN34" s="227"/>
      <c r="HO34" s="227"/>
      <c r="HP34" s="227"/>
      <c r="HQ34" s="227"/>
      <c r="HR34" s="227"/>
      <c r="HS34" s="227"/>
      <c r="HT34" s="227"/>
      <c r="HU34" s="227"/>
      <c r="HV34" s="227"/>
      <c r="HW34" s="227"/>
      <c r="HX34" s="227"/>
      <c r="HY34" s="227"/>
      <c r="HZ34" s="227"/>
      <c r="IA34" s="227"/>
      <c r="IB34" s="227"/>
      <c r="IC34" s="227"/>
      <c r="ID34" s="227"/>
      <c r="IE34" s="227"/>
      <c r="IF34" s="227"/>
      <c r="IG34" s="227"/>
      <c r="IH34" s="227"/>
      <c r="II34" s="227"/>
      <c r="IJ34" s="227"/>
      <c r="IK34" s="227"/>
      <c r="IL34" s="227"/>
      <c r="IM34" s="227"/>
      <c r="IN34" s="227"/>
      <c r="IO34" s="227"/>
      <c r="IP34" s="227"/>
      <c r="IQ34" s="227"/>
      <c r="IR34" s="227"/>
      <c r="IS34" s="227"/>
      <c r="IT34" s="227"/>
      <c r="IU34" s="227"/>
      <c r="IV34" s="227"/>
    </row>
    <row r="35" spans="1:256" customFormat="1">
      <c r="A35" s="227"/>
      <c r="B35" s="227"/>
      <c r="C35" s="471"/>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7"/>
      <c r="BR35" s="227"/>
      <c r="BS35" s="227"/>
      <c r="BT35" s="227"/>
      <c r="BU35" s="227"/>
      <c r="BV35" s="227"/>
      <c r="BW35" s="227"/>
      <c r="BX35" s="227"/>
      <c r="BY35" s="227"/>
      <c r="BZ35" s="227"/>
      <c r="CA35" s="227"/>
      <c r="CB35" s="227"/>
      <c r="CC35" s="227"/>
      <c r="CD35" s="227"/>
      <c r="CE35" s="227"/>
      <c r="CF35" s="227"/>
      <c r="CG35" s="227"/>
      <c r="CH35" s="227"/>
      <c r="CI35" s="227"/>
      <c r="CJ35" s="227"/>
      <c r="CK35" s="227"/>
      <c r="CL35" s="227"/>
      <c r="CM35" s="227"/>
      <c r="CN35" s="227"/>
      <c r="CO35" s="227"/>
      <c r="CP35" s="227"/>
      <c r="CQ35" s="227"/>
      <c r="CR35" s="227"/>
      <c r="CS35" s="227"/>
      <c r="CT35" s="227"/>
      <c r="CU35" s="227"/>
      <c r="CV35" s="227"/>
      <c r="CW35" s="227"/>
      <c r="CX35" s="227"/>
      <c r="CY35" s="227"/>
      <c r="CZ35" s="227"/>
      <c r="DA35" s="227"/>
      <c r="DB35" s="227"/>
      <c r="DC35" s="227"/>
      <c r="DD35" s="227"/>
      <c r="DE35" s="227"/>
      <c r="DF35" s="227"/>
      <c r="DG35" s="227"/>
      <c r="DH35" s="227"/>
      <c r="DI35" s="227"/>
      <c r="DJ35" s="227"/>
      <c r="DK35" s="227"/>
      <c r="DL35" s="227"/>
      <c r="DM35" s="227"/>
      <c r="DN35" s="227"/>
      <c r="DO35" s="227"/>
      <c r="DP35" s="227"/>
      <c r="DQ35" s="227"/>
      <c r="DR35" s="227"/>
      <c r="DS35" s="227"/>
      <c r="DT35" s="227"/>
      <c r="DU35" s="227"/>
      <c r="DV35" s="227"/>
      <c r="DW35" s="227"/>
      <c r="DX35" s="227"/>
      <c r="DY35" s="227"/>
      <c r="DZ35" s="227"/>
      <c r="EA35" s="227"/>
      <c r="EB35" s="227"/>
      <c r="EC35" s="227"/>
      <c r="ED35" s="227"/>
      <c r="EE35" s="227"/>
      <c r="EF35" s="227"/>
      <c r="EG35" s="227"/>
      <c r="EH35" s="227"/>
      <c r="EI35" s="227"/>
      <c r="EJ35" s="227"/>
      <c r="EK35" s="227"/>
      <c r="EL35" s="227"/>
      <c r="EM35" s="227"/>
      <c r="EN35" s="227"/>
      <c r="EO35" s="227"/>
      <c r="EP35" s="227"/>
      <c r="EQ35" s="227"/>
      <c r="ER35" s="227"/>
      <c r="ES35" s="227"/>
      <c r="ET35" s="227"/>
      <c r="EU35" s="227"/>
      <c r="EV35" s="227"/>
      <c r="EW35" s="227"/>
      <c r="EX35" s="227"/>
      <c r="EY35" s="227"/>
      <c r="EZ35" s="227"/>
      <c r="FA35" s="227"/>
      <c r="FB35" s="227"/>
      <c r="FC35" s="227"/>
      <c r="FD35" s="227"/>
      <c r="FE35" s="227"/>
      <c r="FF35" s="227"/>
      <c r="FG35" s="227"/>
      <c r="FH35" s="227"/>
      <c r="FI35" s="227"/>
      <c r="FJ35" s="227"/>
      <c r="FK35" s="227"/>
      <c r="FL35" s="227"/>
      <c r="FM35" s="227"/>
      <c r="FN35" s="227"/>
      <c r="FO35" s="227"/>
      <c r="FP35" s="227"/>
      <c r="FQ35" s="227"/>
      <c r="FR35" s="227"/>
      <c r="FS35" s="227"/>
      <c r="FT35" s="227"/>
      <c r="FU35" s="227"/>
      <c r="FV35" s="227"/>
      <c r="FW35" s="227"/>
      <c r="FX35" s="227"/>
      <c r="FY35" s="227"/>
      <c r="FZ35" s="227"/>
      <c r="GA35" s="227"/>
      <c r="GB35" s="227"/>
      <c r="GC35" s="227"/>
      <c r="GD35" s="227"/>
      <c r="GE35" s="227"/>
      <c r="GF35" s="227"/>
      <c r="GG35" s="227"/>
      <c r="GH35" s="227"/>
      <c r="GI35" s="227"/>
      <c r="GJ35" s="227"/>
      <c r="GK35" s="227"/>
      <c r="GL35" s="227"/>
      <c r="GM35" s="227"/>
      <c r="GN35" s="227"/>
      <c r="GO35" s="227"/>
      <c r="GP35" s="227"/>
      <c r="GQ35" s="227"/>
      <c r="GR35" s="227"/>
      <c r="GS35" s="227"/>
      <c r="GT35" s="227"/>
      <c r="GU35" s="227"/>
      <c r="GV35" s="227"/>
      <c r="GW35" s="227"/>
      <c r="GX35" s="227"/>
      <c r="GY35" s="227"/>
      <c r="GZ35" s="227"/>
      <c r="HA35" s="227"/>
      <c r="HB35" s="227"/>
      <c r="HC35" s="227"/>
      <c r="HD35" s="227"/>
      <c r="HE35" s="227"/>
      <c r="HF35" s="227"/>
      <c r="HG35" s="227"/>
      <c r="HH35" s="227"/>
      <c r="HI35" s="227"/>
      <c r="HJ35" s="227"/>
      <c r="HK35" s="227"/>
      <c r="HL35" s="227"/>
      <c r="HM35" s="227"/>
      <c r="HN35" s="227"/>
      <c r="HO35" s="227"/>
      <c r="HP35" s="227"/>
      <c r="HQ35" s="227"/>
      <c r="HR35" s="227"/>
      <c r="HS35" s="227"/>
      <c r="HT35" s="227"/>
      <c r="HU35" s="227"/>
      <c r="HV35" s="227"/>
      <c r="HW35" s="227"/>
      <c r="HX35" s="227"/>
      <c r="HY35" s="227"/>
      <c r="HZ35" s="227"/>
      <c r="IA35" s="227"/>
      <c r="IB35" s="227"/>
      <c r="IC35" s="227"/>
      <c r="ID35" s="227"/>
      <c r="IE35" s="227"/>
      <c r="IF35" s="227"/>
      <c r="IG35" s="227"/>
      <c r="IH35" s="227"/>
      <c r="II35" s="227"/>
      <c r="IJ35" s="227"/>
      <c r="IK35" s="227"/>
      <c r="IL35" s="227"/>
      <c r="IM35" s="227"/>
      <c r="IN35" s="227"/>
      <c r="IO35" s="227"/>
      <c r="IP35" s="227"/>
      <c r="IQ35" s="227"/>
      <c r="IR35" s="227"/>
      <c r="IS35" s="227"/>
      <c r="IT35" s="227"/>
      <c r="IU35" s="227"/>
      <c r="IV35" s="227"/>
    </row>
    <row r="36" spans="1:256" customFormat="1">
      <c r="A36" s="227"/>
      <c r="B36" s="227"/>
      <c r="C36" s="471"/>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7"/>
      <c r="BR36" s="227"/>
      <c r="BS36" s="227"/>
      <c r="BT36" s="227"/>
      <c r="BU36" s="227"/>
      <c r="BV36" s="227"/>
      <c r="BW36" s="227"/>
      <c r="BX36" s="227"/>
      <c r="BY36" s="227"/>
      <c r="BZ36" s="227"/>
      <c r="CA36" s="227"/>
      <c r="CB36" s="227"/>
      <c r="CC36" s="227"/>
      <c r="CD36" s="227"/>
      <c r="CE36" s="227"/>
      <c r="CF36" s="227"/>
      <c r="CG36" s="227"/>
      <c r="CH36" s="227"/>
      <c r="CI36" s="227"/>
      <c r="CJ36" s="227"/>
      <c r="CK36" s="227"/>
      <c r="CL36" s="227"/>
      <c r="CM36" s="227"/>
      <c r="CN36" s="227"/>
      <c r="CO36" s="227"/>
      <c r="CP36" s="227"/>
      <c r="CQ36" s="227"/>
      <c r="CR36" s="227"/>
      <c r="CS36" s="227"/>
      <c r="CT36" s="227"/>
      <c r="CU36" s="227"/>
      <c r="CV36" s="227"/>
      <c r="CW36" s="227"/>
      <c r="CX36" s="227"/>
      <c r="CY36" s="227"/>
      <c r="CZ36" s="227"/>
      <c r="DA36" s="227"/>
      <c r="DB36" s="227"/>
      <c r="DC36" s="227"/>
      <c r="DD36" s="227"/>
      <c r="DE36" s="227"/>
      <c r="DF36" s="227"/>
      <c r="DG36" s="227"/>
      <c r="DH36" s="227"/>
      <c r="DI36" s="227"/>
      <c r="DJ36" s="227"/>
      <c r="DK36" s="227"/>
      <c r="DL36" s="227"/>
      <c r="DM36" s="227"/>
      <c r="DN36" s="227"/>
      <c r="DO36" s="227"/>
      <c r="DP36" s="227"/>
      <c r="DQ36" s="227"/>
      <c r="DR36" s="227"/>
      <c r="DS36" s="227"/>
      <c r="DT36" s="227"/>
      <c r="DU36" s="227"/>
      <c r="DV36" s="227"/>
      <c r="DW36" s="227"/>
      <c r="DX36" s="227"/>
      <c r="DY36" s="227"/>
      <c r="DZ36" s="227"/>
      <c r="EA36" s="227"/>
      <c r="EB36" s="227"/>
      <c r="EC36" s="227"/>
      <c r="ED36" s="227"/>
      <c r="EE36" s="227"/>
      <c r="EF36" s="227"/>
      <c r="EG36" s="227"/>
      <c r="EH36" s="227"/>
      <c r="EI36" s="227"/>
      <c r="EJ36" s="227"/>
      <c r="EK36" s="227"/>
      <c r="EL36" s="227"/>
      <c r="EM36" s="227"/>
      <c r="EN36" s="227"/>
      <c r="EO36" s="227"/>
      <c r="EP36" s="227"/>
      <c r="EQ36" s="227"/>
      <c r="ER36" s="227"/>
      <c r="ES36" s="227"/>
      <c r="ET36" s="227"/>
      <c r="EU36" s="227"/>
      <c r="EV36" s="227"/>
      <c r="EW36" s="227"/>
      <c r="EX36" s="227"/>
      <c r="EY36" s="227"/>
      <c r="EZ36" s="227"/>
      <c r="FA36" s="227"/>
      <c r="FB36" s="227"/>
      <c r="FC36" s="227"/>
      <c r="FD36" s="227"/>
      <c r="FE36" s="227"/>
      <c r="FF36" s="227"/>
      <c r="FG36" s="227"/>
      <c r="FH36" s="227"/>
      <c r="FI36" s="227"/>
      <c r="FJ36" s="227"/>
      <c r="FK36" s="227"/>
      <c r="FL36" s="227"/>
      <c r="FM36" s="227"/>
      <c r="FN36" s="227"/>
      <c r="FO36" s="227"/>
      <c r="FP36" s="227"/>
      <c r="FQ36" s="227"/>
      <c r="FR36" s="227"/>
      <c r="FS36" s="227"/>
      <c r="FT36" s="227"/>
      <c r="FU36" s="227"/>
      <c r="FV36" s="227"/>
      <c r="FW36" s="227"/>
      <c r="FX36" s="227"/>
      <c r="FY36" s="227"/>
      <c r="FZ36" s="227"/>
      <c r="GA36" s="227"/>
      <c r="GB36" s="227"/>
      <c r="GC36" s="227"/>
      <c r="GD36" s="227"/>
      <c r="GE36" s="227"/>
      <c r="GF36" s="227"/>
      <c r="GG36" s="227"/>
      <c r="GH36" s="227"/>
      <c r="GI36" s="227"/>
      <c r="GJ36" s="227"/>
      <c r="GK36" s="227"/>
      <c r="GL36" s="227"/>
      <c r="GM36" s="227"/>
      <c r="GN36" s="227"/>
      <c r="GO36" s="227"/>
      <c r="GP36" s="227"/>
      <c r="GQ36" s="227"/>
      <c r="GR36" s="227"/>
      <c r="GS36" s="227"/>
      <c r="GT36" s="227"/>
      <c r="GU36" s="227"/>
      <c r="GV36" s="227"/>
      <c r="GW36" s="227"/>
      <c r="GX36" s="227"/>
      <c r="GY36" s="227"/>
      <c r="GZ36" s="227"/>
      <c r="HA36" s="227"/>
      <c r="HB36" s="227"/>
      <c r="HC36" s="227"/>
      <c r="HD36" s="227"/>
      <c r="HE36" s="227"/>
      <c r="HF36" s="227"/>
      <c r="HG36" s="227"/>
      <c r="HH36" s="227"/>
      <c r="HI36" s="227"/>
      <c r="HJ36" s="227"/>
      <c r="HK36" s="227"/>
      <c r="HL36" s="227"/>
      <c r="HM36" s="227"/>
      <c r="HN36" s="227"/>
      <c r="HO36" s="227"/>
      <c r="HP36" s="227"/>
      <c r="HQ36" s="227"/>
      <c r="HR36" s="227"/>
      <c r="HS36" s="227"/>
      <c r="HT36" s="227"/>
      <c r="HU36" s="227"/>
      <c r="HV36" s="227"/>
      <c r="HW36" s="227"/>
      <c r="HX36" s="227"/>
      <c r="HY36" s="227"/>
      <c r="HZ36" s="227"/>
      <c r="IA36" s="227"/>
      <c r="IB36" s="227"/>
      <c r="IC36" s="227"/>
      <c r="ID36" s="227"/>
      <c r="IE36" s="227"/>
      <c r="IF36" s="227"/>
      <c r="IG36" s="227"/>
      <c r="IH36" s="227"/>
      <c r="II36" s="227"/>
      <c r="IJ36" s="227"/>
      <c r="IK36" s="227"/>
      <c r="IL36" s="227"/>
      <c r="IM36" s="227"/>
      <c r="IN36" s="227"/>
      <c r="IO36" s="227"/>
      <c r="IP36" s="227"/>
      <c r="IQ36" s="227"/>
      <c r="IR36" s="227"/>
      <c r="IS36" s="227"/>
      <c r="IT36" s="227"/>
      <c r="IU36" s="227"/>
      <c r="IV36" s="227"/>
    </row>
    <row r="37" spans="1:256" customFormat="1">
      <c r="A37" s="485"/>
      <c r="B37" s="227"/>
      <c r="C37" s="471"/>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7"/>
      <c r="BR37" s="227"/>
      <c r="BS37" s="227"/>
      <c r="BT37" s="227"/>
      <c r="BU37" s="227"/>
      <c r="BV37" s="227"/>
      <c r="BW37" s="227"/>
      <c r="BX37" s="227"/>
      <c r="BY37" s="227"/>
      <c r="BZ37" s="227"/>
      <c r="CA37" s="227"/>
      <c r="CB37" s="227"/>
      <c r="CC37" s="227"/>
      <c r="CD37" s="227"/>
      <c r="CE37" s="227"/>
      <c r="CF37" s="227"/>
      <c r="CG37" s="227"/>
      <c r="CH37" s="227"/>
      <c r="CI37" s="227"/>
      <c r="CJ37" s="227"/>
      <c r="CK37" s="227"/>
      <c r="CL37" s="227"/>
      <c r="CM37" s="227"/>
      <c r="CN37" s="227"/>
      <c r="CO37" s="227"/>
      <c r="CP37" s="227"/>
      <c r="CQ37" s="227"/>
      <c r="CR37" s="227"/>
      <c r="CS37" s="227"/>
      <c r="CT37" s="227"/>
      <c r="CU37" s="227"/>
      <c r="CV37" s="227"/>
      <c r="CW37" s="227"/>
      <c r="CX37" s="227"/>
      <c r="CY37" s="227"/>
      <c r="CZ37" s="227"/>
      <c r="DA37" s="227"/>
      <c r="DB37" s="227"/>
      <c r="DC37" s="227"/>
      <c r="DD37" s="227"/>
      <c r="DE37" s="227"/>
      <c r="DF37" s="227"/>
      <c r="DG37" s="227"/>
      <c r="DH37" s="227"/>
      <c r="DI37" s="227"/>
      <c r="DJ37" s="227"/>
      <c r="DK37" s="227"/>
      <c r="DL37" s="227"/>
      <c r="DM37" s="227"/>
      <c r="DN37" s="227"/>
      <c r="DO37" s="227"/>
      <c r="DP37" s="227"/>
      <c r="DQ37" s="227"/>
      <c r="DR37" s="227"/>
      <c r="DS37" s="227"/>
      <c r="DT37" s="227"/>
      <c r="DU37" s="227"/>
      <c r="DV37" s="227"/>
      <c r="DW37" s="227"/>
      <c r="DX37" s="227"/>
      <c r="DY37" s="227"/>
      <c r="DZ37" s="227"/>
      <c r="EA37" s="227"/>
      <c r="EB37" s="227"/>
      <c r="EC37" s="227"/>
      <c r="ED37" s="227"/>
      <c r="EE37" s="227"/>
      <c r="EF37" s="227"/>
      <c r="EG37" s="227"/>
      <c r="EH37" s="227"/>
      <c r="EI37" s="227"/>
      <c r="EJ37" s="227"/>
      <c r="EK37" s="227"/>
      <c r="EL37" s="227"/>
      <c r="EM37" s="227"/>
      <c r="EN37" s="227"/>
      <c r="EO37" s="227"/>
      <c r="EP37" s="227"/>
      <c r="EQ37" s="227"/>
      <c r="ER37" s="227"/>
      <c r="ES37" s="227"/>
      <c r="ET37" s="227"/>
      <c r="EU37" s="227"/>
      <c r="EV37" s="227"/>
      <c r="EW37" s="227"/>
      <c r="EX37" s="227"/>
      <c r="EY37" s="227"/>
      <c r="EZ37" s="227"/>
      <c r="FA37" s="227"/>
      <c r="FB37" s="227"/>
      <c r="FC37" s="227"/>
      <c r="FD37" s="227"/>
      <c r="FE37" s="227"/>
      <c r="FF37" s="227"/>
      <c r="FG37" s="227"/>
      <c r="FH37" s="227"/>
      <c r="FI37" s="227"/>
      <c r="FJ37" s="227"/>
      <c r="FK37" s="227"/>
      <c r="FL37" s="227"/>
      <c r="FM37" s="227"/>
      <c r="FN37" s="227"/>
      <c r="FO37" s="227"/>
      <c r="FP37" s="227"/>
      <c r="FQ37" s="227"/>
      <c r="FR37" s="227"/>
      <c r="FS37" s="227"/>
      <c r="FT37" s="227"/>
      <c r="FU37" s="227"/>
      <c r="FV37" s="227"/>
      <c r="FW37" s="227"/>
      <c r="FX37" s="227"/>
      <c r="FY37" s="227"/>
      <c r="FZ37" s="227"/>
      <c r="GA37" s="227"/>
      <c r="GB37" s="227"/>
      <c r="GC37" s="227"/>
      <c r="GD37" s="227"/>
      <c r="GE37" s="227"/>
      <c r="GF37" s="227"/>
      <c r="GG37" s="227"/>
      <c r="GH37" s="227"/>
      <c r="GI37" s="227"/>
      <c r="GJ37" s="227"/>
      <c r="GK37" s="227"/>
      <c r="GL37" s="227"/>
      <c r="GM37" s="227"/>
      <c r="GN37" s="227"/>
      <c r="GO37" s="227"/>
      <c r="GP37" s="227"/>
      <c r="GQ37" s="227"/>
      <c r="GR37" s="227"/>
      <c r="GS37" s="227"/>
      <c r="GT37" s="227"/>
      <c r="GU37" s="227"/>
      <c r="GV37" s="227"/>
      <c r="GW37" s="227"/>
      <c r="GX37" s="227"/>
      <c r="GY37" s="227"/>
      <c r="GZ37" s="227"/>
      <c r="HA37" s="227"/>
      <c r="HB37" s="227"/>
      <c r="HC37" s="227"/>
      <c r="HD37" s="227"/>
      <c r="HE37" s="227"/>
      <c r="HF37" s="227"/>
      <c r="HG37" s="227"/>
      <c r="HH37" s="227"/>
      <c r="HI37" s="227"/>
      <c r="HJ37" s="227"/>
      <c r="HK37" s="227"/>
      <c r="HL37" s="227"/>
      <c r="HM37" s="227"/>
      <c r="HN37" s="227"/>
      <c r="HO37" s="227"/>
      <c r="HP37" s="227"/>
      <c r="HQ37" s="227"/>
      <c r="HR37" s="227"/>
      <c r="HS37" s="227"/>
      <c r="HT37" s="227"/>
      <c r="HU37" s="227"/>
      <c r="HV37" s="227"/>
      <c r="HW37" s="227"/>
      <c r="HX37" s="227"/>
      <c r="HY37" s="227"/>
      <c r="HZ37" s="227"/>
      <c r="IA37" s="227"/>
      <c r="IB37" s="227"/>
      <c r="IC37" s="227"/>
      <c r="ID37" s="227"/>
      <c r="IE37" s="227"/>
      <c r="IF37" s="227"/>
      <c r="IG37" s="227"/>
      <c r="IH37" s="227"/>
      <c r="II37" s="227"/>
      <c r="IJ37" s="227"/>
      <c r="IK37" s="227"/>
      <c r="IL37" s="227"/>
      <c r="IM37" s="227"/>
      <c r="IN37" s="227"/>
      <c r="IO37" s="227"/>
      <c r="IP37" s="227"/>
      <c r="IQ37" s="227"/>
      <c r="IR37" s="227"/>
      <c r="IS37" s="227"/>
      <c r="IT37" s="227"/>
      <c r="IU37" s="227"/>
      <c r="IV37" s="227"/>
    </row>
  </sheetData>
  <mergeCells count="2">
    <mergeCell ref="A1:D1"/>
    <mergeCell ref="A27:D27"/>
  </mergeCells>
  <phoneticPr fontId="2" type="noConversion"/>
  <printOptions horizontalCentered="1"/>
  <pageMargins left="0.78888888888888897" right="0.78888888888888897" top="0.97916666666666696" bottom="0.97916666666666696" header="0.2" footer="0.78888888888888897"/>
  <pageSetup paperSize="9" firstPageNumber="4" orientation="portrait" useFirstPageNumber="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R20"/>
  <sheetViews>
    <sheetView showGridLines="0" showZeros="0" workbookViewId="0">
      <pane xSplit="1" ySplit="3" topLeftCell="B6" activePane="bottomRight" state="frozen"/>
      <selection pane="topRight"/>
      <selection pane="bottomLeft"/>
      <selection pane="bottomRight" activeCell="G12" sqref="G12"/>
    </sheetView>
  </sheetViews>
  <sheetFormatPr defaultColWidth="9" defaultRowHeight="15.75"/>
  <cols>
    <col min="1" max="1" width="35.625" style="235" customWidth="1"/>
    <col min="2" max="4" width="9.75" style="235" customWidth="1"/>
    <col min="5" max="5" width="9.75" style="235" hidden="1" customWidth="1"/>
    <col min="6" max="6" width="9.75" style="235" customWidth="1"/>
    <col min="7" max="7" width="9" style="235"/>
    <col min="8" max="10" width="9" style="235" hidden="1" customWidth="1"/>
    <col min="11" max="252" width="9" style="235"/>
  </cols>
  <sheetData>
    <row r="1" spans="1:10" s="462" customFormat="1" ht="49.5" customHeight="1">
      <c r="A1" s="542" t="s">
        <v>10</v>
      </c>
      <c r="B1" s="542"/>
      <c r="C1" s="542"/>
      <c r="D1" s="542"/>
      <c r="E1" s="542"/>
      <c r="F1" s="542"/>
    </row>
    <row r="2" spans="1:10" ht="26.25" customHeight="1">
      <c r="A2" s="194"/>
      <c r="B2" s="194"/>
      <c r="C2" s="194"/>
      <c r="D2" s="212"/>
      <c r="E2" s="194"/>
      <c r="F2" s="212" t="s">
        <v>81</v>
      </c>
    </row>
    <row r="3" spans="1:10" ht="30" customHeight="1">
      <c r="A3" s="338" t="s">
        <v>170</v>
      </c>
      <c r="B3" s="463" t="s">
        <v>161</v>
      </c>
      <c r="C3" s="443" t="s">
        <v>171</v>
      </c>
      <c r="D3" s="444" t="s">
        <v>172</v>
      </c>
      <c r="E3" s="445" t="s">
        <v>135</v>
      </c>
      <c r="F3" s="446" t="s">
        <v>173</v>
      </c>
      <c r="H3" s="464" t="s">
        <v>88</v>
      </c>
      <c r="I3" s="464" t="s">
        <v>174</v>
      </c>
      <c r="J3" s="464" t="s">
        <v>175</v>
      </c>
    </row>
    <row r="4" spans="1:10" ht="33.950000000000003" customHeight="1">
      <c r="A4" s="216" t="s">
        <v>176</v>
      </c>
      <c r="B4" s="465"/>
      <c r="C4" s="454"/>
      <c r="D4" s="450"/>
      <c r="E4" s="454"/>
      <c r="F4" s="449"/>
      <c r="H4" s="456">
        <f t="shared" ref="H4" si="0">+I4+J4</f>
        <v>0</v>
      </c>
      <c r="I4" s="454"/>
      <c r="J4" s="456"/>
    </row>
    <row r="5" spans="1:10" ht="33.950000000000003" customHeight="1">
      <c r="A5" s="216" t="s">
        <v>177</v>
      </c>
      <c r="B5" s="465"/>
      <c r="C5" s="454"/>
      <c r="D5" s="450"/>
      <c r="E5" s="454">
        <v>628</v>
      </c>
      <c r="F5" s="449">
        <f t="shared" ref="F5:F9" si="1">+(C5-E5)/E5*100</f>
        <v>-100</v>
      </c>
      <c r="H5" s="456">
        <f t="shared" ref="H5:H18" si="2">+I5+J5</f>
        <v>588</v>
      </c>
      <c r="I5" s="454">
        <v>469</v>
      </c>
      <c r="J5" s="456">
        <v>119</v>
      </c>
    </row>
    <row r="6" spans="1:10" ht="33.950000000000003" customHeight="1">
      <c r="A6" s="216" t="s">
        <v>178</v>
      </c>
      <c r="B6" s="465"/>
      <c r="C6" s="454"/>
      <c r="D6" s="450"/>
      <c r="E6" s="454">
        <v>759</v>
      </c>
      <c r="F6" s="449">
        <f t="shared" si="1"/>
        <v>-100</v>
      </c>
      <c r="H6" s="456">
        <f t="shared" si="2"/>
        <v>759</v>
      </c>
      <c r="I6" s="454">
        <v>292</v>
      </c>
      <c r="J6" s="456">
        <v>467</v>
      </c>
    </row>
    <row r="7" spans="1:10" ht="33.950000000000003" customHeight="1">
      <c r="A7" s="216" t="s">
        <v>179</v>
      </c>
      <c r="B7" s="454">
        <v>20408</v>
      </c>
      <c r="C7" s="454">
        <v>13026</v>
      </c>
      <c r="D7" s="450">
        <f t="shared" ref="D7:D9" si="3">C7/B7*100</f>
        <v>63.827910623284993</v>
      </c>
      <c r="E7" s="454">
        <v>6104</v>
      </c>
      <c r="F7" s="449">
        <f t="shared" si="1"/>
        <v>113.40104849279162</v>
      </c>
      <c r="H7" s="456">
        <f t="shared" si="2"/>
        <v>6480</v>
      </c>
      <c r="I7" s="454">
        <v>5615</v>
      </c>
      <c r="J7" s="448">
        <v>865</v>
      </c>
    </row>
    <row r="8" spans="1:10" ht="33.950000000000003" customHeight="1">
      <c r="A8" s="216" t="s">
        <v>180</v>
      </c>
      <c r="B8" s="454">
        <v>2850</v>
      </c>
      <c r="C8" s="454">
        <v>2001</v>
      </c>
      <c r="D8" s="450">
        <f t="shared" si="3"/>
        <v>70.21052631578948</v>
      </c>
      <c r="E8" s="454">
        <v>1205</v>
      </c>
      <c r="F8" s="449">
        <f t="shared" si="1"/>
        <v>66.058091286307047</v>
      </c>
      <c r="H8" s="456">
        <f t="shared" si="2"/>
        <v>1290</v>
      </c>
      <c r="I8" s="454">
        <v>1110</v>
      </c>
      <c r="J8" s="448">
        <v>180</v>
      </c>
    </row>
    <row r="9" spans="1:10" ht="33.950000000000003" customHeight="1">
      <c r="A9" s="216" t="s">
        <v>181</v>
      </c>
      <c r="B9" s="454">
        <v>487670</v>
      </c>
      <c r="C9" s="454">
        <v>594826</v>
      </c>
      <c r="D9" s="450">
        <f t="shared" si="3"/>
        <v>121.97305554985954</v>
      </c>
      <c r="E9" s="454">
        <v>391417</v>
      </c>
      <c r="F9" s="449">
        <f t="shared" si="1"/>
        <v>51.967339180464819</v>
      </c>
      <c r="H9" s="456">
        <f t="shared" si="2"/>
        <v>392321</v>
      </c>
      <c r="I9" s="454">
        <v>224251</v>
      </c>
      <c r="J9" s="448">
        <v>168070</v>
      </c>
    </row>
    <row r="10" spans="1:10" ht="33.950000000000003" customHeight="1">
      <c r="A10" s="216" t="s">
        <v>182</v>
      </c>
      <c r="B10" s="454"/>
      <c r="C10" s="454"/>
      <c r="D10" s="450"/>
      <c r="E10" s="454">
        <v>0</v>
      </c>
      <c r="F10" s="449"/>
      <c r="H10" s="456">
        <f t="shared" si="2"/>
        <v>0</v>
      </c>
      <c r="I10" s="454"/>
      <c r="J10" s="456"/>
    </row>
    <row r="11" spans="1:10" ht="33.950000000000003" customHeight="1">
      <c r="A11" s="216" t="s">
        <v>183</v>
      </c>
      <c r="B11" s="454">
        <v>0</v>
      </c>
      <c r="C11" s="454"/>
      <c r="D11" s="450"/>
      <c r="E11" s="454">
        <v>0</v>
      </c>
      <c r="F11" s="449"/>
      <c r="H11" s="456">
        <f t="shared" si="2"/>
        <v>0</v>
      </c>
      <c r="I11" s="454"/>
      <c r="J11" s="456"/>
    </row>
    <row r="12" spans="1:10" ht="33.950000000000003" customHeight="1">
      <c r="A12" s="216" t="s">
        <v>184</v>
      </c>
      <c r="B12" s="454">
        <v>10170</v>
      </c>
      <c r="C12" s="454">
        <v>59034</v>
      </c>
      <c r="D12" s="450">
        <f t="shared" ref="D12" si="4">C12/B12*100</f>
        <v>580.47197640117986</v>
      </c>
      <c r="E12" s="454">
        <v>5579</v>
      </c>
      <c r="F12" s="449">
        <f t="shared" ref="F12:F13" si="5">+(C12-E12)/E12*100</f>
        <v>958.14662125829</v>
      </c>
      <c r="H12" s="456">
        <f t="shared" si="2"/>
        <v>5315</v>
      </c>
      <c r="I12" s="454">
        <v>1578</v>
      </c>
      <c r="J12" s="456">
        <v>3737</v>
      </c>
    </row>
    <row r="13" spans="1:10" ht="33.950000000000003" customHeight="1">
      <c r="A13" s="216" t="s">
        <v>185</v>
      </c>
      <c r="B13" s="454"/>
      <c r="C13" s="454">
        <v>100</v>
      </c>
      <c r="D13" s="450"/>
      <c r="E13" s="454">
        <v>100</v>
      </c>
      <c r="F13" s="449">
        <f t="shared" si="5"/>
        <v>0</v>
      </c>
      <c r="H13" s="456">
        <f t="shared" si="2"/>
        <v>0</v>
      </c>
      <c r="I13" s="454">
        <v>0</v>
      </c>
      <c r="J13" s="456"/>
    </row>
    <row r="14" spans="1:10" ht="33.950000000000003" customHeight="1">
      <c r="A14" s="216" t="s">
        <v>186</v>
      </c>
      <c r="B14" s="454"/>
      <c r="C14" s="454"/>
      <c r="D14" s="450"/>
      <c r="E14" s="454">
        <v>0</v>
      </c>
      <c r="F14" s="449"/>
      <c r="H14" s="456">
        <f t="shared" si="2"/>
        <v>0</v>
      </c>
      <c r="I14" s="454"/>
      <c r="J14" s="456"/>
    </row>
    <row r="15" spans="1:10" ht="33.950000000000003" customHeight="1">
      <c r="A15" s="216" t="s">
        <v>187</v>
      </c>
      <c r="B15" s="454">
        <v>60</v>
      </c>
      <c r="C15" s="454">
        <v>38</v>
      </c>
      <c r="D15" s="450">
        <f t="shared" ref="D15:D16" si="6">C15/B15*100</f>
        <v>63.333333333333329</v>
      </c>
      <c r="E15" s="454">
        <v>95</v>
      </c>
      <c r="F15" s="449">
        <f t="shared" ref="F15:F16" si="7">+(C15-E15)/E15*100</f>
        <v>-60</v>
      </c>
      <c r="H15" s="456">
        <f t="shared" si="2"/>
        <v>95</v>
      </c>
      <c r="I15" s="454">
        <v>95</v>
      </c>
      <c r="J15" s="456"/>
    </row>
    <row r="16" spans="1:10" ht="33.950000000000003" customHeight="1">
      <c r="A16" s="221" t="s">
        <v>188</v>
      </c>
      <c r="B16" s="454">
        <v>4360</v>
      </c>
      <c r="C16" s="454">
        <v>5897</v>
      </c>
      <c r="D16" s="450">
        <f t="shared" si="6"/>
        <v>135.25229357798165</v>
      </c>
      <c r="E16" s="454">
        <v>2850</v>
      </c>
      <c r="F16" s="449">
        <f t="shared" si="7"/>
        <v>106.91228070175438</v>
      </c>
      <c r="H16" s="456">
        <f t="shared" si="2"/>
        <v>2850</v>
      </c>
      <c r="I16" s="454">
        <v>886</v>
      </c>
      <c r="J16" s="456">
        <v>1964</v>
      </c>
    </row>
    <row r="17" spans="1:10" ht="33.950000000000003" customHeight="1">
      <c r="A17" s="216" t="s">
        <v>189</v>
      </c>
      <c r="B17" s="454">
        <v>1024</v>
      </c>
      <c r="C17" s="454">
        <v>164347</v>
      </c>
      <c r="D17" s="450"/>
      <c r="E17" s="454">
        <v>728</v>
      </c>
      <c r="F17" s="449"/>
      <c r="H17" s="456">
        <f t="shared" si="2"/>
        <v>729</v>
      </c>
      <c r="I17" s="467">
        <v>84</v>
      </c>
      <c r="J17" s="456">
        <v>645</v>
      </c>
    </row>
    <row r="18" spans="1:10" ht="33.950000000000003" customHeight="1">
      <c r="A18" s="466" t="s">
        <v>190</v>
      </c>
      <c r="B18" s="454">
        <f>SUM(B4:B17)</f>
        <v>526542</v>
      </c>
      <c r="C18" s="467">
        <f>SUM(C4:C17)</f>
        <v>839269</v>
      </c>
      <c r="D18" s="468">
        <f>C18/B18*100</f>
        <v>159.39260305920516</v>
      </c>
      <c r="E18" s="467">
        <f t="shared" ref="E18" si="8">SUM(E4:E17)</f>
        <v>409465</v>
      </c>
      <c r="F18" s="453">
        <f>+(C18-E18)/E18*100</f>
        <v>104.96721331493535</v>
      </c>
      <c r="H18" s="469">
        <f t="shared" si="2"/>
        <v>410427</v>
      </c>
      <c r="I18" s="454">
        <f>SUM(I4:I17)</f>
        <v>234380</v>
      </c>
      <c r="J18" s="454">
        <f>SUM(J4:J17)</f>
        <v>176047</v>
      </c>
    </row>
    <row r="19" spans="1:10" ht="51.95" customHeight="1">
      <c r="A19" s="549" t="s">
        <v>191</v>
      </c>
      <c r="B19" s="550"/>
      <c r="C19" s="550"/>
      <c r="D19" s="550"/>
      <c r="E19" s="550"/>
      <c r="F19" s="550"/>
    </row>
    <row r="20" spans="1:10" ht="24" customHeight="1">
      <c r="A20" s="551" t="s">
        <v>192</v>
      </c>
      <c r="B20" s="552"/>
      <c r="C20" s="552"/>
      <c r="D20" s="552"/>
      <c r="E20" s="552"/>
      <c r="F20" s="552"/>
    </row>
  </sheetData>
  <mergeCells count="3">
    <mergeCell ref="A1:F1"/>
    <mergeCell ref="A19:F19"/>
    <mergeCell ref="A20:F20"/>
  </mergeCells>
  <phoneticPr fontId="2" type="noConversion"/>
  <printOptions horizontalCentered="1"/>
  <pageMargins left="0.79027777777777797" right="0.79027777777777797" top="1.05" bottom="0.59027777777777801" header="0.2" footer="0.31388888888888899"/>
  <pageSetup paperSize="9" firstPageNumber="5" orientation="portrait" useFirstPageNumber="1" verticalDpi="180"/>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16"/>
  <sheetViews>
    <sheetView showZeros="0" workbookViewId="0">
      <selection activeCell="E3" sqref="E3"/>
    </sheetView>
  </sheetViews>
  <sheetFormatPr defaultColWidth="9" defaultRowHeight="15.75"/>
  <cols>
    <col min="1" max="1" width="38.625" style="429" customWidth="1"/>
    <col min="2" max="2" width="9.875" style="429" hidden="1" customWidth="1"/>
    <col min="3" max="3" width="14" style="429" customWidth="1"/>
    <col min="4" max="4" width="9.125" style="429" hidden="1" customWidth="1"/>
    <col min="5" max="5" width="13.625" style="429" customWidth="1"/>
    <col min="6" max="6" width="13.875" style="429" customWidth="1"/>
    <col min="7" max="8" width="9" style="429"/>
    <col min="9" max="11" width="9" style="429" hidden="1" customWidth="1"/>
    <col min="12" max="16384" width="9" style="429"/>
  </cols>
  <sheetData>
    <row r="1" spans="1:256" s="427" customFormat="1" ht="45.95" customHeight="1">
      <c r="A1" s="542" t="s">
        <v>12</v>
      </c>
      <c r="B1" s="542"/>
      <c r="C1" s="542"/>
      <c r="D1" s="542"/>
      <c r="E1" s="542"/>
      <c r="F1" s="542"/>
    </row>
    <row r="2" spans="1:256" ht="28.5" customHeight="1">
      <c r="D2" s="553" t="s">
        <v>193</v>
      </c>
      <c r="E2" s="553"/>
      <c r="F2" s="553"/>
    </row>
    <row r="3" spans="1:256" ht="54.95" customHeight="1">
      <c r="A3" s="196" t="s">
        <v>133</v>
      </c>
      <c r="B3" s="431" t="s">
        <v>194</v>
      </c>
      <c r="C3" s="431" t="s">
        <v>195</v>
      </c>
      <c r="D3" s="432" t="s">
        <v>172</v>
      </c>
      <c r="E3" s="431" t="s">
        <v>135</v>
      </c>
      <c r="F3" s="431" t="s">
        <v>136</v>
      </c>
      <c r="I3" s="460" t="s">
        <v>88</v>
      </c>
      <c r="J3" s="460" t="s">
        <v>89</v>
      </c>
      <c r="K3" s="460" t="s">
        <v>90</v>
      </c>
    </row>
    <row r="4" spans="1:256" ht="42" customHeight="1">
      <c r="A4" s="433" t="s">
        <v>196</v>
      </c>
      <c r="B4" s="434">
        <v>425</v>
      </c>
      <c r="C4" s="434">
        <v>453</v>
      </c>
      <c r="D4" s="435">
        <f t="shared" ref="D4" si="0">+C4/B4*100</f>
        <v>106.58823529411765</v>
      </c>
      <c r="E4" s="434">
        <v>623</v>
      </c>
      <c r="F4" s="435">
        <f t="shared" ref="F4" si="1">+(C4-E4)/E4*100</f>
        <v>-27.287319422150887</v>
      </c>
      <c r="I4" s="461">
        <f t="shared" ref="I4" si="2">+J4+K4</f>
        <v>598</v>
      </c>
      <c r="J4" s="461">
        <v>598</v>
      </c>
      <c r="K4" s="461"/>
    </row>
    <row r="5" spans="1:256" ht="42" customHeight="1">
      <c r="A5" s="433" t="s">
        <v>197</v>
      </c>
      <c r="B5" s="434">
        <v>2757</v>
      </c>
      <c r="C5" s="434">
        <v>17684</v>
      </c>
      <c r="D5" s="435">
        <f t="shared" ref="D5" si="3">+C5/B5*100</f>
        <v>641.42183532825538</v>
      </c>
      <c r="E5" s="434">
        <v>23217</v>
      </c>
      <c r="F5" s="435">
        <f t="shared" ref="F5" si="4">+(C5-E5)/E5*100</f>
        <v>-23.831675065684628</v>
      </c>
      <c r="I5" s="461">
        <f t="shared" ref="I5:I11" si="5">+J5+K5</f>
        <v>16280</v>
      </c>
      <c r="J5" s="461">
        <v>9280</v>
      </c>
      <c r="K5" s="461">
        <v>7000</v>
      </c>
    </row>
    <row r="6" spans="1:256" ht="42" customHeight="1">
      <c r="A6" s="433" t="s">
        <v>198</v>
      </c>
      <c r="B6" s="434"/>
      <c r="C6" s="434"/>
      <c r="D6" s="435"/>
      <c r="E6" s="434"/>
      <c r="F6" s="435"/>
      <c r="I6" s="461">
        <f t="shared" si="5"/>
        <v>0</v>
      </c>
      <c r="J6" s="461"/>
      <c r="K6" s="461"/>
    </row>
    <row r="7" spans="1:256" ht="42" customHeight="1">
      <c r="A7" s="433" t="s">
        <v>199</v>
      </c>
      <c r="B7" s="434">
        <v>509983</v>
      </c>
      <c r="C7" s="434">
        <f>582385+25100</f>
        <v>607485</v>
      </c>
      <c r="D7" s="435">
        <f t="shared" ref="D7:D9" si="6">+C7/B7*100</f>
        <v>119.11867650490311</v>
      </c>
      <c r="E7" s="434">
        <v>383902</v>
      </c>
      <c r="F7" s="435">
        <f t="shared" ref="F7:F10" si="7">+(C7-E7)/E7*100</f>
        <v>58.239602815301815</v>
      </c>
      <c r="I7" s="461">
        <f t="shared" si="5"/>
        <v>372130</v>
      </c>
      <c r="J7" s="461">
        <v>370130</v>
      </c>
      <c r="K7" s="461">
        <v>2000</v>
      </c>
    </row>
    <row r="8" spans="1:256" ht="42" customHeight="1">
      <c r="A8" s="433" t="s">
        <v>200</v>
      </c>
      <c r="B8" s="434">
        <v>435</v>
      </c>
      <c r="C8" s="434">
        <v>3248</v>
      </c>
      <c r="D8" s="435">
        <f t="shared" si="6"/>
        <v>746.66666666666663</v>
      </c>
      <c r="E8" s="434">
        <v>3382</v>
      </c>
      <c r="F8" s="435">
        <f t="shared" si="7"/>
        <v>-3.9621525724423416</v>
      </c>
      <c r="I8" s="461">
        <f t="shared" si="5"/>
        <v>4798</v>
      </c>
      <c r="J8" s="461">
        <v>1798</v>
      </c>
      <c r="K8" s="461">
        <v>3000</v>
      </c>
    </row>
    <row r="9" spans="1:256" ht="42" customHeight="1">
      <c r="A9" s="433" t="s">
        <v>201</v>
      </c>
      <c r="B9" s="434">
        <v>60</v>
      </c>
      <c r="C9" s="434">
        <f>42030-25100</f>
        <v>16930</v>
      </c>
      <c r="D9" s="435">
        <f t="shared" si="6"/>
        <v>28216.666666666668</v>
      </c>
      <c r="E9" s="434">
        <v>8018</v>
      </c>
      <c r="F9" s="435">
        <f t="shared" si="7"/>
        <v>111.14991269643302</v>
      </c>
      <c r="I9" s="461">
        <f t="shared" si="5"/>
        <v>8019</v>
      </c>
      <c r="J9" s="461">
        <v>20019</v>
      </c>
      <c r="K9" s="461">
        <v>-12000</v>
      </c>
    </row>
    <row r="10" spans="1:256" ht="42" customHeight="1">
      <c r="A10" s="433" t="s">
        <v>202</v>
      </c>
      <c r="B10" s="434"/>
      <c r="C10" s="434"/>
      <c r="D10" s="435"/>
      <c r="E10" s="434">
        <v>262</v>
      </c>
      <c r="F10" s="435">
        <f t="shared" si="7"/>
        <v>-100</v>
      </c>
      <c r="I10" s="461">
        <f t="shared" si="5"/>
        <v>327</v>
      </c>
      <c r="J10" s="461">
        <v>327</v>
      </c>
      <c r="K10" s="461"/>
    </row>
    <row r="11" spans="1:256" ht="42" customHeight="1">
      <c r="A11" s="433" t="s">
        <v>203</v>
      </c>
      <c r="B11" s="434"/>
      <c r="C11" s="434">
        <v>712</v>
      </c>
      <c r="D11" s="435"/>
      <c r="E11" s="434">
        <v>17</v>
      </c>
      <c r="F11" s="435"/>
      <c r="I11" s="461">
        <f t="shared" si="5"/>
        <v>127</v>
      </c>
      <c r="J11" s="461">
        <v>127</v>
      </c>
      <c r="K11" s="461"/>
    </row>
    <row r="12" spans="1:256" ht="42" customHeight="1">
      <c r="A12" s="433" t="s">
        <v>204</v>
      </c>
      <c r="B12" s="434"/>
      <c r="C12" s="434">
        <f>35766+5</f>
        <v>35771</v>
      </c>
      <c r="D12" s="435"/>
      <c r="E12" s="434">
        <v>22580</v>
      </c>
      <c r="F12" s="435">
        <f t="shared" ref="F12:F14" si="8">+(C12-E12)/E12*100</f>
        <v>58.418954827280778</v>
      </c>
      <c r="I12" s="461"/>
      <c r="J12" s="461"/>
      <c r="K12" s="461"/>
    </row>
    <row r="13" spans="1:256" ht="42" customHeight="1">
      <c r="A13" s="433" t="s">
        <v>205</v>
      </c>
      <c r="B13" s="434">
        <v>10171</v>
      </c>
      <c r="C13" s="434">
        <v>71273</v>
      </c>
      <c r="D13" s="435">
        <f>+C13/B13*100</f>
        <v>700.74722249532988</v>
      </c>
      <c r="E13" s="434">
        <v>16000</v>
      </c>
      <c r="F13" s="435">
        <f t="shared" si="8"/>
        <v>345.45625000000001</v>
      </c>
      <c r="I13" s="461">
        <f>+J13+K13</f>
        <v>12233</v>
      </c>
      <c r="J13" s="461">
        <v>12233</v>
      </c>
      <c r="K13" s="461"/>
    </row>
    <row r="14" spans="1:256" ht="42" customHeight="1">
      <c r="A14" s="436" t="s">
        <v>206</v>
      </c>
      <c r="B14" s="434">
        <f>SUM(B4:B13)</f>
        <v>523831</v>
      </c>
      <c r="C14" s="458">
        <f>SUM(C4:C13)</f>
        <v>753556</v>
      </c>
      <c r="D14" s="435">
        <f>+C14/B14*100</f>
        <v>143.85479286258354</v>
      </c>
      <c r="E14" s="434">
        <f>SUM(E4:E13)</f>
        <v>458001</v>
      </c>
      <c r="F14" s="435">
        <f t="shared" si="8"/>
        <v>64.531518490134303</v>
      </c>
      <c r="I14" s="461">
        <f>+J14+K14</f>
        <v>414512</v>
      </c>
      <c r="J14" s="458">
        <f>SUM(J4:J13)</f>
        <v>414512</v>
      </c>
      <c r="K14" s="458">
        <f>SUM(K4:K13)</f>
        <v>0</v>
      </c>
    </row>
    <row r="15" spans="1:256" customFormat="1">
      <c r="A15" s="429"/>
      <c r="B15" s="429"/>
      <c r="C15" s="429"/>
      <c r="D15" s="429"/>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29"/>
      <c r="AN15" s="429"/>
      <c r="AO15" s="429"/>
      <c r="AP15" s="429"/>
      <c r="AQ15" s="429"/>
      <c r="AR15" s="429"/>
      <c r="AS15" s="429"/>
      <c r="AT15" s="429"/>
      <c r="AU15" s="429"/>
      <c r="AV15" s="429"/>
      <c r="AW15" s="429"/>
      <c r="AX15" s="429"/>
      <c r="AY15" s="429"/>
      <c r="AZ15" s="429"/>
      <c r="BA15" s="429"/>
      <c r="BB15" s="429"/>
      <c r="BC15" s="429"/>
      <c r="BD15" s="429"/>
      <c r="BE15" s="429"/>
      <c r="BF15" s="429"/>
      <c r="BG15" s="429"/>
      <c r="BH15" s="429"/>
      <c r="BI15" s="429"/>
      <c r="BJ15" s="429"/>
      <c r="BK15" s="429"/>
      <c r="BL15" s="429"/>
      <c r="BM15" s="429"/>
      <c r="BN15" s="429"/>
      <c r="BO15" s="429"/>
      <c r="BP15" s="429"/>
      <c r="BQ15" s="429"/>
      <c r="BR15" s="429"/>
      <c r="BS15" s="429"/>
      <c r="BT15" s="429"/>
      <c r="BU15" s="429"/>
      <c r="BV15" s="429"/>
      <c r="BW15" s="429"/>
      <c r="BX15" s="429"/>
      <c r="BY15" s="429"/>
      <c r="BZ15" s="429"/>
      <c r="CA15" s="429"/>
      <c r="CB15" s="429"/>
      <c r="CC15" s="429"/>
      <c r="CD15" s="429"/>
      <c r="CE15" s="429"/>
      <c r="CF15" s="429"/>
      <c r="CG15" s="429"/>
      <c r="CH15" s="429"/>
      <c r="CI15" s="429"/>
      <c r="CJ15" s="429"/>
      <c r="CK15" s="429"/>
      <c r="CL15" s="429"/>
      <c r="CM15" s="429"/>
      <c r="CN15" s="429"/>
      <c r="CO15" s="429"/>
      <c r="CP15" s="429"/>
      <c r="CQ15" s="429"/>
      <c r="CR15" s="429"/>
      <c r="CS15" s="429"/>
      <c r="CT15" s="429"/>
      <c r="CU15" s="429"/>
      <c r="CV15" s="429"/>
      <c r="CW15" s="429"/>
      <c r="CX15" s="429"/>
      <c r="CY15" s="429"/>
      <c r="CZ15" s="429"/>
      <c r="DA15" s="429"/>
      <c r="DB15" s="429"/>
      <c r="DC15" s="429"/>
      <c r="DD15" s="429"/>
      <c r="DE15" s="429"/>
      <c r="DF15" s="429"/>
      <c r="DG15" s="429"/>
      <c r="DH15" s="429"/>
      <c r="DI15" s="429"/>
      <c r="DJ15" s="429"/>
      <c r="DK15" s="429"/>
      <c r="DL15" s="429"/>
      <c r="DM15" s="429"/>
      <c r="DN15" s="429"/>
      <c r="DO15" s="429"/>
      <c r="DP15" s="429"/>
      <c r="DQ15" s="429"/>
      <c r="DR15" s="429"/>
      <c r="DS15" s="429"/>
      <c r="DT15" s="429"/>
      <c r="DU15" s="429"/>
      <c r="DV15" s="429"/>
      <c r="DW15" s="429"/>
      <c r="DX15" s="429"/>
      <c r="DY15" s="429"/>
      <c r="DZ15" s="429"/>
      <c r="EA15" s="429"/>
      <c r="EB15" s="429"/>
      <c r="EC15" s="429"/>
      <c r="ED15" s="429"/>
      <c r="EE15" s="429"/>
      <c r="EF15" s="429"/>
      <c r="EG15" s="429"/>
      <c r="EH15" s="429"/>
      <c r="EI15" s="429"/>
      <c r="EJ15" s="429"/>
      <c r="EK15" s="429"/>
      <c r="EL15" s="429"/>
      <c r="EM15" s="429"/>
      <c r="EN15" s="429"/>
      <c r="EO15" s="429"/>
      <c r="EP15" s="429"/>
      <c r="EQ15" s="429"/>
      <c r="ER15" s="429"/>
      <c r="ES15" s="429"/>
      <c r="ET15" s="429"/>
      <c r="EU15" s="429"/>
      <c r="EV15" s="429"/>
      <c r="EW15" s="429"/>
      <c r="EX15" s="429"/>
      <c r="EY15" s="429"/>
      <c r="EZ15" s="429"/>
      <c r="FA15" s="429"/>
      <c r="FB15" s="429"/>
      <c r="FC15" s="429"/>
      <c r="FD15" s="429"/>
      <c r="FE15" s="429"/>
      <c r="FF15" s="429"/>
      <c r="FG15" s="429"/>
      <c r="FH15" s="429"/>
      <c r="FI15" s="429"/>
      <c r="FJ15" s="429"/>
      <c r="FK15" s="429"/>
      <c r="FL15" s="429"/>
      <c r="FM15" s="429"/>
      <c r="FN15" s="429"/>
      <c r="FO15" s="429"/>
      <c r="FP15" s="429"/>
      <c r="FQ15" s="429"/>
      <c r="FR15" s="429"/>
      <c r="FS15" s="429"/>
      <c r="FT15" s="429"/>
      <c r="FU15" s="429"/>
      <c r="FV15" s="429"/>
      <c r="FW15" s="429"/>
      <c r="FX15" s="429"/>
      <c r="FY15" s="429"/>
      <c r="FZ15" s="429"/>
      <c r="GA15" s="429"/>
      <c r="GB15" s="429"/>
      <c r="GC15" s="429"/>
      <c r="GD15" s="429"/>
      <c r="GE15" s="429"/>
      <c r="GF15" s="429"/>
      <c r="GG15" s="429"/>
      <c r="GH15" s="429"/>
      <c r="GI15" s="429"/>
      <c r="GJ15" s="429"/>
      <c r="GK15" s="429"/>
      <c r="GL15" s="429"/>
      <c r="GM15" s="429"/>
      <c r="GN15" s="429"/>
      <c r="GO15" s="429"/>
      <c r="GP15" s="429"/>
      <c r="GQ15" s="429"/>
      <c r="GR15" s="429"/>
      <c r="GS15" s="429"/>
      <c r="GT15" s="429"/>
      <c r="GU15" s="429"/>
      <c r="GV15" s="429"/>
      <c r="GW15" s="429"/>
      <c r="GX15" s="429"/>
      <c r="GY15" s="429"/>
      <c r="GZ15" s="429"/>
      <c r="HA15" s="429"/>
      <c r="HB15" s="429"/>
      <c r="HC15" s="429"/>
      <c r="HD15" s="429"/>
      <c r="HE15" s="429"/>
      <c r="HF15" s="429"/>
      <c r="HG15" s="429"/>
      <c r="HH15" s="429"/>
      <c r="HI15" s="429"/>
      <c r="HJ15" s="429"/>
      <c r="HK15" s="429"/>
      <c r="HL15" s="429"/>
      <c r="HM15" s="429"/>
      <c r="HN15" s="429"/>
      <c r="HO15" s="429"/>
      <c r="HP15" s="429"/>
      <c r="HQ15" s="429"/>
      <c r="HR15" s="429"/>
      <c r="HS15" s="429"/>
      <c r="HT15" s="429"/>
      <c r="HU15" s="429"/>
      <c r="HV15" s="429"/>
      <c r="HW15" s="429"/>
      <c r="HX15" s="429"/>
      <c r="HY15" s="429"/>
      <c r="HZ15" s="429"/>
      <c r="IA15" s="429"/>
      <c r="IB15" s="429"/>
      <c r="IC15" s="429"/>
      <c r="ID15" s="429"/>
      <c r="IE15" s="429"/>
      <c r="IF15" s="429"/>
      <c r="IG15" s="429"/>
      <c r="IH15" s="429"/>
      <c r="II15" s="429"/>
      <c r="IJ15" s="429"/>
      <c r="IK15" s="429"/>
      <c r="IL15" s="429"/>
      <c r="IM15" s="429"/>
      <c r="IN15" s="429"/>
      <c r="IO15" s="429"/>
      <c r="IP15" s="429"/>
      <c r="IQ15" s="429"/>
      <c r="IR15" s="429"/>
      <c r="IS15" s="429"/>
      <c r="IT15" s="429"/>
      <c r="IU15" s="429"/>
      <c r="IV15" s="429"/>
    </row>
    <row r="16" spans="1:256" customFormat="1">
      <c r="A16" s="429"/>
      <c r="B16" s="429"/>
      <c r="C16" s="45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429"/>
      <c r="AL16" s="429"/>
      <c r="AM16" s="429"/>
      <c r="AN16" s="429"/>
      <c r="AO16" s="429"/>
      <c r="AP16" s="429"/>
      <c r="AQ16" s="429"/>
      <c r="AR16" s="429"/>
      <c r="AS16" s="429"/>
      <c r="AT16" s="429"/>
      <c r="AU16" s="429"/>
      <c r="AV16" s="429"/>
      <c r="AW16" s="429"/>
      <c r="AX16" s="429"/>
      <c r="AY16" s="429"/>
      <c r="AZ16" s="429"/>
      <c r="BA16" s="429"/>
      <c r="BB16" s="429"/>
      <c r="BC16" s="429"/>
      <c r="BD16" s="429"/>
      <c r="BE16" s="429"/>
      <c r="BF16" s="429"/>
      <c r="BG16" s="429"/>
      <c r="BH16" s="429"/>
      <c r="BI16" s="429"/>
      <c r="BJ16" s="429"/>
      <c r="BK16" s="429"/>
      <c r="BL16" s="429"/>
      <c r="BM16" s="429"/>
      <c r="BN16" s="429"/>
      <c r="BO16" s="429"/>
      <c r="BP16" s="429"/>
      <c r="BQ16" s="429"/>
      <c r="BR16" s="429"/>
      <c r="BS16" s="429"/>
      <c r="BT16" s="429"/>
      <c r="BU16" s="429"/>
      <c r="BV16" s="429"/>
      <c r="BW16" s="429"/>
      <c r="BX16" s="429"/>
      <c r="BY16" s="429"/>
      <c r="BZ16" s="429"/>
      <c r="CA16" s="429"/>
      <c r="CB16" s="429"/>
      <c r="CC16" s="429"/>
      <c r="CD16" s="429"/>
      <c r="CE16" s="429"/>
      <c r="CF16" s="429"/>
      <c r="CG16" s="429"/>
      <c r="CH16" s="429"/>
      <c r="CI16" s="429"/>
      <c r="CJ16" s="429"/>
      <c r="CK16" s="429"/>
      <c r="CL16" s="429"/>
      <c r="CM16" s="429"/>
      <c r="CN16" s="429"/>
      <c r="CO16" s="429"/>
      <c r="CP16" s="429"/>
      <c r="CQ16" s="429"/>
      <c r="CR16" s="429"/>
      <c r="CS16" s="429"/>
      <c r="CT16" s="429"/>
      <c r="CU16" s="429"/>
      <c r="CV16" s="429"/>
      <c r="CW16" s="429"/>
      <c r="CX16" s="429"/>
      <c r="CY16" s="429"/>
      <c r="CZ16" s="429"/>
      <c r="DA16" s="429"/>
      <c r="DB16" s="429"/>
      <c r="DC16" s="429"/>
      <c r="DD16" s="429"/>
      <c r="DE16" s="429"/>
      <c r="DF16" s="429"/>
      <c r="DG16" s="429"/>
      <c r="DH16" s="429"/>
      <c r="DI16" s="429"/>
      <c r="DJ16" s="429"/>
      <c r="DK16" s="429"/>
      <c r="DL16" s="429"/>
      <c r="DM16" s="429"/>
      <c r="DN16" s="429"/>
      <c r="DO16" s="429"/>
      <c r="DP16" s="429"/>
      <c r="DQ16" s="429"/>
      <c r="DR16" s="429"/>
      <c r="DS16" s="429"/>
      <c r="DT16" s="429"/>
      <c r="DU16" s="429"/>
      <c r="DV16" s="429"/>
      <c r="DW16" s="429"/>
      <c r="DX16" s="429"/>
      <c r="DY16" s="429"/>
      <c r="DZ16" s="429"/>
      <c r="EA16" s="429"/>
      <c r="EB16" s="429"/>
      <c r="EC16" s="429"/>
      <c r="ED16" s="429"/>
      <c r="EE16" s="429"/>
      <c r="EF16" s="429"/>
      <c r="EG16" s="429"/>
      <c r="EH16" s="429"/>
      <c r="EI16" s="429"/>
      <c r="EJ16" s="429"/>
      <c r="EK16" s="429"/>
      <c r="EL16" s="429"/>
      <c r="EM16" s="429"/>
      <c r="EN16" s="429"/>
      <c r="EO16" s="429"/>
      <c r="EP16" s="429"/>
      <c r="EQ16" s="429"/>
      <c r="ER16" s="429"/>
      <c r="ES16" s="429"/>
      <c r="ET16" s="429"/>
      <c r="EU16" s="429"/>
      <c r="EV16" s="429"/>
      <c r="EW16" s="429"/>
      <c r="EX16" s="429"/>
      <c r="EY16" s="429"/>
      <c r="EZ16" s="429"/>
      <c r="FA16" s="429"/>
      <c r="FB16" s="429"/>
      <c r="FC16" s="429"/>
      <c r="FD16" s="429"/>
      <c r="FE16" s="429"/>
      <c r="FF16" s="429"/>
      <c r="FG16" s="429"/>
      <c r="FH16" s="429"/>
      <c r="FI16" s="429"/>
      <c r="FJ16" s="429"/>
      <c r="FK16" s="429"/>
      <c r="FL16" s="429"/>
      <c r="FM16" s="429"/>
      <c r="FN16" s="429"/>
      <c r="FO16" s="429"/>
      <c r="FP16" s="429"/>
      <c r="FQ16" s="429"/>
      <c r="FR16" s="429"/>
      <c r="FS16" s="429"/>
      <c r="FT16" s="429"/>
      <c r="FU16" s="429"/>
      <c r="FV16" s="429"/>
      <c r="FW16" s="429"/>
      <c r="FX16" s="429"/>
      <c r="FY16" s="429"/>
      <c r="FZ16" s="429"/>
      <c r="GA16" s="429"/>
      <c r="GB16" s="429"/>
      <c r="GC16" s="429"/>
      <c r="GD16" s="429"/>
      <c r="GE16" s="429"/>
      <c r="GF16" s="429"/>
      <c r="GG16" s="429"/>
      <c r="GH16" s="429"/>
      <c r="GI16" s="429"/>
      <c r="GJ16" s="429"/>
      <c r="GK16" s="429"/>
      <c r="GL16" s="429"/>
      <c r="GM16" s="429"/>
      <c r="GN16" s="429"/>
      <c r="GO16" s="429"/>
      <c r="GP16" s="429"/>
      <c r="GQ16" s="429"/>
      <c r="GR16" s="429"/>
      <c r="GS16" s="429"/>
      <c r="GT16" s="429"/>
      <c r="GU16" s="429"/>
      <c r="GV16" s="429"/>
      <c r="GW16" s="429"/>
      <c r="GX16" s="429"/>
      <c r="GY16" s="429"/>
      <c r="GZ16" s="429"/>
      <c r="HA16" s="429"/>
      <c r="HB16" s="429"/>
      <c r="HC16" s="429"/>
      <c r="HD16" s="429"/>
      <c r="HE16" s="429"/>
      <c r="HF16" s="429"/>
      <c r="HG16" s="429"/>
      <c r="HH16" s="429"/>
      <c r="HI16" s="429"/>
      <c r="HJ16" s="429"/>
      <c r="HK16" s="429"/>
      <c r="HL16" s="429"/>
      <c r="HM16" s="429"/>
      <c r="HN16" s="429"/>
      <c r="HO16" s="429"/>
      <c r="HP16" s="429"/>
      <c r="HQ16" s="429"/>
      <c r="HR16" s="429"/>
      <c r="HS16" s="429"/>
      <c r="HT16" s="429"/>
      <c r="HU16" s="429"/>
      <c r="HV16" s="429"/>
      <c r="HW16" s="429"/>
      <c r="HX16" s="429"/>
      <c r="HY16" s="429"/>
      <c r="HZ16" s="429"/>
      <c r="IA16" s="429"/>
      <c r="IB16" s="429"/>
      <c r="IC16" s="429"/>
      <c r="ID16" s="429"/>
      <c r="IE16" s="429"/>
      <c r="IF16" s="429"/>
      <c r="IG16" s="429"/>
      <c r="IH16" s="429"/>
      <c r="II16" s="429"/>
      <c r="IJ16" s="429"/>
      <c r="IK16" s="429"/>
      <c r="IL16" s="429"/>
      <c r="IM16" s="429"/>
      <c r="IN16" s="429"/>
      <c r="IO16" s="429"/>
      <c r="IP16" s="429"/>
      <c r="IQ16" s="429"/>
      <c r="IR16" s="429"/>
      <c r="IS16" s="429"/>
      <c r="IT16" s="429"/>
      <c r="IU16" s="429"/>
      <c r="IV16" s="429"/>
    </row>
  </sheetData>
  <mergeCells count="2">
    <mergeCell ref="A1:F1"/>
    <mergeCell ref="D2:F2"/>
  </mergeCells>
  <phoneticPr fontId="2" type="noConversion"/>
  <printOptions horizontalCentered="1"/>
  <pageMargins left="0.468055555555556" right="0.468055555555556" top="0.59027777777777801" bottom="0.59027777777777801" header="0.2" footer="0.38888888888888901"/>
  <pageSetup paperSize="9" firstPageNumber="6" orientation="portrait" useFirstPageNumber="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15"/>
  <sheetViews>
    <sheetView showZeros="0" workbookViewId="0">
      <pane xSplit="1" ySplit="2" topLeftCell="B3" activePane="bottomRight" state="frozen"/>
      <selection pane="topRight"/>
      <selection pane="bottomLeft"/>
      <selection pane="bottomRight" activeCell="G14" sqref="G14"/>
    </sheetView>
  </sheetViews>
  <sheetFormatPr defaultColWidth="9" defaultRowHeight="15.75"/>
  <cols>
    <col min="1" max="1" width="33.75" style="438" customWidth="1"/>
    <col min="2" max="2" width="10.625" style="439" customWidth="1"/>
    <col min="3" max="3" width="9.25" style="438" customWidth="1"/>
    <col min="4" max="4" width="11" style="438" customWidth="1"/>
    <col min="5" max="5" width="10.375" style="438" hidden="1" customWidth="1"/>
    <col min="6" max="6" width="10.75" style="438" customWidth="1"/>
    <col min="7" max="7" width="9" style="438"/>
    <col min="8" max="9" width="9" style="438" hidden="1" customWidth="1"/>
    <col min="10" max="10" width="11.625" style="438" hidden="1" customWidth="1"/>
    <col min="11" max="11" width="9" style="438" hidden="1" customWidth="1"/>
    <col min="12" max="16384" width="9" style="438"/>
  </cols>
  <sheetData>
    <row r="1" spans="1:256" s="437" customFormat="1" ht="47.25" customHeight="1">
      <c r="A1" s="554" t="s">
        <v>14</v>
      </c>
      <c r="B1" s="554"/>
      <c r="C1" s="554"/>
      <c r="D1" s="554"/>
      <c r="E1" s="554"/>
      <c r="F1" s="554"/>
    </row>
    <row r="2" spans="1:256" customFormat="1" ht="21.75" customHeight="1">
      <c r="A2" s="440"/>
      <c r="B2" s="441"/>
      <c r="C2" s="440"/>
      <c r="D2" s="555" t="s">
        <v>81</v>
      </c>
      <c r="E2" s="555"/>
      <c r="F2" s="555"/>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438"/>
      <c r="AW2" s="438"/>
      <c r="AX2" s="438"/>
      <c r="AY2" s="438"/>
      <c r="AZ2" s="438"/>
      <c r="BA2" s="438"/>
      <c r="BB2" s="438"/>
      <c r="BC2" s="438"/>
      <c r="BD2" s="438"/>
      <c r="BE2" s="438"/>
      <c r="BF2" s="438"/>
      <c r="BG2" s="438"/>
      <c r="BH2" s="438"/>
      <c r="BI2" s="438"/>
      <c r="BJ2" s="438"/>
      <c r="BK2" s="438"/>
      <c r="BL2" s="438"/>
      <c r="BM2" s="438"/>
      <c r="BN2" s="438"/>
      <c r="BO2" s="438"/>
      <c r="BP2" s="438"/>
      <c r="BQ2" s="438"/>
      <c r="BR2" s="438"/>
      <c r="BS2" s="438"/>
      <c r="BT2" s="438"/>
      <c r="BU2" s="438"/>
      <c r="BV2" s="438"/>
      <c r="BW2" s="438"/>
      <c r="BX2" s="438"/>
      <c r="BY2" s="438"/>
      <c r="BZ2" s="438"/>
      <c r="CA2" s="438"/>
      <c r="CB2" s="438"/>
      <c r="CC2" s="438"/>
      <c r="CD2" s="438"/>
      <c r="CE2" s="438"/>
      <c r="CF2" s="438"/>
      <c r="CG2" s="438"/>
      <c r="CH2" s="438"/>
      <c r="CI2" s="438"/>
      <c r="CJ2" s="438"/>
      <c r="CK2" s="438"/>
      <c r="CL2" s="438"/>
      <c r="CM2" s="438"/>
      <c r="CN2" s="438"/>
      <c r="CO2" s="438"/>
      <c r="CP2" s="438"/>
      <c r="CQ2" s="438"/>
      <c r="CR2" s="438"/>
      <c r="CS2" s="438"/>
      <c r="CT2" s="438"/>
      <c r="CU2" s="438"/>
      <c r="CV2" s="438"/>
      <c r="CW2" s="438"/>
      <c r="CX2" s="438"/>
      <c r="CY2" s="438"/>
      <c r="CZ2" s="438"/>
      <c r="DA2" s="438"/>
      <c r="DB2" s="438"/>
      <c r="DC2" s="438"/>
      <c r="DD2" s="438"/>
      <c r="DE2" s="438"/>
      <c r="DF2" s="438"/>
      <c r="DG2" s="438"/>
      <c r="DH2" s="438"/>
      <c r="DI2" s="438"/>
      <c r="DJ2" s="438"/>
      <c r="DK2" s="438"/>
      <c r="DL2" s="438"/>
      <c r="DM2" s="438"/>
      <c r="DN2" s="438"/>
      <c r="DO2" s="438"/>
      <c r="DP2" s="438"/>
      <c r="DQ2" s="438"/>
      <c r="DR2" s="438"/>
      <c r="DS2" s="438"/>
      <c r="DT2" s="438"/>
      <c r="DU2" s="438"/>
      <c r="DV2" s="438"/>
      <c r="DW2" s="438"/>
      <c r="DX2" s="438"/>
      <c r="DY2" s="438"/>
      <c r="DZ2" s="438"/>
      <c r="EA2" s="438"/>
      <c r="EB2" s="438"/>
      <c r="EC2" s="438"/>
      <c r="ED2" s="438"/>
      <c r="EE2" s="438"/>
      <c r="EF2" s="438"/>
      <c r="EG2" s="438"/>
      <c r="EH2" s="438"/>
      <c r="EI2" s="438"/>
      <c r="EJ2" s="438"/>
      <c r="EK2" s="438"/>
      <c r="EL2" s="438"/>
      <c r="EM2" s="438"/>
      <c r="EN2" s="438"/>
      <c r="EO2" s="438"/>
      <c r="EP2" s="438"/>
      <c r="EQ2" s="438"/>
      <c r="ER2" s="438"/>
      <c r="ES2" s="438"/>
      <c r="ET2" s="438"/>
      <c r="EU2" s="438"/>
      <c r="EV2" s="438"/>
      <c r="EW2" s="438"/>
      <c r="EX2" s="438"/>
      <c r="EY2" s="438"/>
      <c r="EZ2" s="438"/>
      <c r="FA2" s="438"/>
      <c r="FB2" s="438"/>
      <c r="FC2" s="438"/>
      <c r="FD2" s="438"/>
      <c r="FE2" s="438"/>
      <c r="FF2" s="438"/>
      <c r="FG2" s="438"/>
      <c r="FH2" s="438"/>
      <c r="FI2" s="438"/>
      <c r="FJ2" s="438"/>
      <c r="FK2" s="438"/>
      <c r="FL2" s="438"/>
      <c r="FM2" s="438"/>
      <c r="FN2" s="438"/>
      <c r="FO2" s="438"/>
      <c r="FP2" s="438"/>
      <c r="FQ2" s="438"/>
      <c r="FR2" s="438"/>
      <c r="FS2" s="438"/>
      <c r="FT2" s="438"/>
      <c r="FU2" s="438"/>
      <c r="FV2" s="438"/>
      <c r="FW2" s="438"/>
      <c r="FX2" s="438"/>
      <c r="FY2" s="438"/>
      <c r="FZ2" s="438"/>
      <c r="GA2" s="438"/>
      <c r="GB2" s="438"/>
      <c r="GC2" s="438"/>
      <c r="GD2" s="438"/>
      <c r="GE2" s="438"/>
      <c r="GF2" s="438"/>
      <c r="GG2" s="438"/>
      <c r="GH2" s="438"/>
      <c r="GI2" s="438"/>
      <c r="GJ2" s="438"/>
      <c r="GK2" s="438"/>
      <c r="GL2" s="438"/>
      <c r="GM2" s="438"/>
      <c r="GN2" s="438"/>
      <c r="GO2" s="438"/>
      <c r="GP2" s="438"/>
      <c r="GQ2" s="438"/>
      <c r="GR2" s="438"/>
      <c r="GS2" s="438"/>
      <c r="GT2" s="438"/>
      <c r="GU2" s="438"/>
      <c r="GV2" s="438"/>
      <c r="GW2" s="438"/>
      <c r="GX2" s="438"/>
      <c r="GY2" s="438"/>
      <c r="GZ2" s="438"/>
      <c r="HA2" s="438"/>
      <c r="HB2" s="438"/>
      <c r="HC2" s="438"/>
      <c r="HD2" s="438"/>
      <c r="HE2" s="438"/>
      <c r="HF2" s="438"/>
      <c r="HG2" s="438"/>
      <c r="HH2" s="438"/>
      <c r="HI2" s="438"/>
      <c r="HJ2" s="438"/>
      <c r="HK2" s="438"/>
      <c r="HL2" s="438"/>
      <c r="HM2" s="438"/>
      <c r="HN2" s="438"/>
      <c r="HO2" s="438"/>
      <c r="HP2" s="438"/>
      <c r="HQ2" s="438"/>
      <c r="HR2" s="438"/>
      <c r="HS2" s="438"/>
      <c r="HT2" s="438"/>
      <c r="HU2" s="438"/>
      <c r="HV2" s="438"/>
      <c r="HW2" s="438"/>
      <c r="HX2" s="438"/>
      <c r="HY2" s="438"/>
      <c r="HZ2" s="438"/>
      <c r="IA2" s="438"/>
      <c r="IB2" s="438"/>
      <c r="IC2" s="438"/>
      <c r="ID2" s="438"/>
      <c r="IE2" s="438"/>
      <c r="IF2" s="438"/>
      <c r="IG2" s="438"/>
      <c r="IH2" s="438"/>
      <c r="II2" s="438"/>
      <c r="IJ2" s="438"/>
      <c r="IK2" s="438"/>
      <c r="IL2" s="438"/>
      <c r="IM2" s="438"/>
      <c r="IN2" s="438"/>
      <c r="IO2" s="438"/>
      <c r="IP2" s="438"/>
      <c r="IQ2" s="438"/>
      <c r="IR2" s="438"/>
      <c r="IS2" s="438"/>
      <c r="IT2" s="438"/>
      <c r="IU2" s="438"/>
      <c r="IV2" s="438"/>
    </row>
    <row r="3" spans="1:256" ht="51.95" customHeight="1">
      <c r="A3" s="338" t="s">
        <v>170</v>
      </c>
      <c r="B3" s="442" t="s">
        <v>207</v>
      </c>
      <c r="C3" s="443" t="s">
        <v>171</v>
      </c>
      <c r="D3" s="444" t="s">
        <v>172</v>
      </c>
      <c r="E3" s="445" t="s">
        <v>135</v>
      </c>
      <c r="F3" s="446" t="s">
        <v>173</v>
      </c>
      <c r="H3" s="447" t="s">
        <v>88</v>
      </c>
      <c r="I3" s="447" t="s">
        <v>208</v>
      </c>
      <c r="J3" s="447" t="s">
        <v>90</v>
      </c>
    </row>
    <row r="4" spans="1:256" ht="39" customHeight="1">
      <c r="A4" s="216" t="s">
        <v>176</v>
      </c>
      <c r="B4" s="448">
        <v>0</v>
      </c>
      <c r="C4" s="448">
        <v>0</v>
      </c>
      <c r="D4" s="448"/>
      <c r="E4" s="448"/>
      <c r="F4" s="449"/>
      <c r="H4" s="380">
        <f t="shared" ref="H4" si="0">+I4+J4</f>
        <v>0</v>
      </c>
      <c r="I4" s="448">
        <v>0</v>
      </c>
      <c r="J4" s="456"/>
      <c r="K4" s="235"/>
    </row>
    <row r="5" spans="1:256" ht="39" customHeight="1">
      <c r="A5" s="216" t="s">
        <v>177</v>
      </c>
      <c r="B5" s="448"/>
      <c r="C5" s="448"/>
      <c r="D5" s="450"/>
      <c r="E5" s="448">
        <v>119</v>
      </c>
      <c r="F5" s="449">
        <f t="shared" ref="F5" si="1">+(C5-E5)/E5*100</f>
        <v>-100</v>
      </c>
      <c r="H5" s="380">
        <f t="shared" ref="H5:H13" si="2">+I5+J5</f>
        <v>119</v>
      </c>
      <c r="I5" s="448">
        <v>119</v>
      </c>
      <c r="J5" s="456"/>
      <c r="K5" s="235"/>
    </row>
    <row r="6" spans="1:256" ht="39" customHeight="1">
      <c r="A6" s="216" t="s">
        <v>178</v>
      </c>
      <c r="B6" s="448"/>
      <c r="C6" s="448"/>
      <c r="D6" s="450"/>
      <c r="E6" s="448">
        <v>467</v>
      </c>
      <c r="F6" s="449">
        <f t="shared" ref="F6:F11" si="3">+(C6-E6)/E6*100</f>
        <v>-100</v>
      </c>
      <c r="H6" s="380">
        <f t="shared" si="2"/>
        <v>467</v>
      </c>
      <c r="I6" s="448">
        <v>467</v>
      </c>
      <c r="J6" s="456"/>
      <c r="K6" s="235"/>
    </row>
    <row r="7" spans="1:256" ht="39" customHeight="1">
      <c r="A7" s="216" t="s">
        <v>179</v>
      </c>
      <c r="B7" s="448">
        <v>14250</v>
      </c>
      <c r="C7" s="448">
        <v>21</v>
      </c>
      <c r="D7" s="450">
        <f t="shared" ref="D7:D8" si="4">C7/B7*100</f>
        <v>0.14736842105263159</v>
      </c>
      <c r="E7" s="448">
        <v>490</v>
      </c>
      <c r="F7" s="449">
        <f t="shared" si="3"/>
        <v>-95.714285714285722</v>
      </c>
      <c r="H7" s="380">
        <f t="shared" si="2"/>
        <v>865</v>
      </c>
      <c r="I7" s="448">
        <v>0</v>
      </c>
      <c r="J7" s="456">
        <v>865</v>
      </c>
      <c r="K7" s="235"/>
    </row>
    <row r="8" spans="1:256" ht="39" customHeight="1">
      <c r="A8" s="216" t="s">
        <v>180</v>
      </c>
      <c r="B8" s="448">
        <v>1130</v>
      </c>
      <c r="C8" s="448">
        <v>1</v>
      </c>
      <c r="D8" s="450">
        <f t="shared" si="4"/>
        <v>8.8495575221238937E-2</v>
      </c>
      <c r="E8" s="448">
        <v>20</v>
      </c>
      <c r="F8" s="449">
        <f t="shared" si="3"/>
        <v>-95</v>
      </c>
      <c r="H8" s="380">
        <f t="shared" si="2"/>
        <v>180</v>
      </c>
      <c r="I8" s="448"/>
      <c r="J8" s="456">
        <v>180</v>
      </c>
      <c r="K8" s="235"/>
    </row>
    <row r="9" spans="1:256" ht="39" customHeight="1">
      <c r="A9" s="216" t="s">
        <v>181</v>
      </c>
      <c r="B9" s="448">
        <v>267862</v>
      </c>
      <c r="C9" s="448">
        <v>180504</v>
      </c>
      <c r="D9" s="450">
        <f t="shared" ref="D9:D13" si="5">C9/B9*100</f>
        <v>67.386938050190025</v>
      </c>
      <c r="E9" s="448">
        <v>165777</v>
      </c>
      <c r="F9" s="449">
        <f t="shared" si="3"/>
        <v>8.8836207676577565</v>
      </c>
      <c r="H9" s="380">
        <f t="shared" si="2"/>
        <v>168070</v>
      </c>
      <c r="I9" s="448">
        <v>118070</v>
      </c>
      <c r="J9" s="456">
        <v>50000</v>
      </c>
      <c r="K9" s="235">
        <v>168694</v>
      </c>
    </row>
    <row r="10" spans="1:256" ht="39" customHeight="1">
      <c r="A10" s="216" t="s">
        <v>184</v>
      </c>
      <c r="B10" s="448">
        <v>5000</v>
      </c>
      <c r="C10" s="448">
        <v>11538</v>
      </c>
      <c r="D10" s="450">
        <f t="shared" si="5"/>
        <v>230.76</v>
      </c>
      <c r="E10" s="448">
        <v>3737</v>
      </c>
      <c r="F10" s="449">
        <f t="shared" si="3"/>
        <v>208.75033449290873</v>
      </c>
      <c r="H10" s="380">
        <f t="shared" si="2"/>
        <v>3737</v>
      </c>
      <c r="I10" s="448">
        <v>3737</v>
      </c>
      <c r="J10" s="456"/>
      <c r="K10" s="235">
        <f>+K9-I9</f>
        <v>50624</v>
      </c>
    </row>
    <row r="11" spans="1:256" ht="39" customHeight="1">
      <c r="A11" s="221" t="s">
        <v>188</v>
      </c>
      <c r="B11" s="448">
        <v>3500</v>
      </c>
      <c r="C11" s="448">
        <v>4456</v>
      </c>
      <c r="D11" s="450">
        <f t="shared" si="5"/>
        <v>127.31428571428572</v>
      </c>
      <c r="E11" s="448">
        <v>1964</v>
      </c>
      <c r="F11" s="449">
        <f t="shared" si="3"/>
        <v>126.88391038696538</v>
      </c>
      <c r="H11" s="380">
        <f t="shared" si="2"/>
        <v>1964</v>
      </c>
      <c r="I11" s="448">
        <v>1964</v>
      </c>
      <c r="J11" s="456"/>
      <c r="K11" s="235"/>
    </row>
    <row r="12" spans="1:256" ht="39" customHeight="1">
      <c r="A12" s="451" t="s">
        <v>189</v>
      </c>
      <c r="B12" s="452">
        <v>10574</v>
      </c>
      <c r="C12" s="452"/>
      <c r="D12" s="450">
        <f t="shared" si="5"/>
        <v>0</v>
      </c>
      <c r="E12" s="452">
        <v>644</v>
      </c>
      <c r="F12" s="453">
        <f t="shared" ref="F12:F13" si="6">+(C12-E12)/E12*100</f>
        <v>-100</v>
      </c>
      <c r="H12" s="380">
        <f t="shared" si="2"/>
        <v>645</v>
      </c>
      <c r="I12" s="452">
        <v>645</v>
      </c>
      <c r="J12" s="457"/>
      <c r="K12" s="235"/>
    </row>
    <row r="13" spans="1:256" ht="39" customHeight="1">
      <c r="A13" s="234" t="s">
        <v>190</v>
      </c>
      <c r="B13" s="454">
        <f>SUM(B4:B12)</f>
        <v>302316</v>
      </c>
      <c r="C13" s="454">
        <f>SUM(C4:C12)</f>
        <v>196520</v>
      </c>
      <c r="D13" s="450">
        <f t="shared" si="5"/>
        <v>65.004829383823548</v>
      </c>
      <c r="E13" s="454">
        <f t="shared" ref="E13" si="7">SUM(E4:E12)</f>
        <v>173218</v>
      </c>
      <c r="F13" s="449">
        <f t="shared" si="6"/>
        <v>13.452412566823311</v>
      </c>
      <c r="H13" s="455">
        <f t="shared" si="2"/>
        <v>176047</v>
      </c>
      <c r="I13" s="454">
        <f>SUM(I4:I12)</f>
        <v>125002</v>
      </c>
      <c r="J13" s="454">
        <f>SUM(J4:J12)</f>
        <v>51045</v>
      </c>
      <c r="K13" s="235"/>
    </row>
    <row r="14" spans="1:256" customFormat="1" ht="54" customHeight="1">
      <c r="A14" s="551" t="s">
        <v>191</v>
      </c>
      <c r="B14" s="552"/>
      <c r="C14" s="552"/>
      <c r="D14" s="552"/>
      <c r="E14" s="552"/>
      <c r="F14" s="552"/>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c r="EH14" s="235"/>
      <c r="EI14" s="235"/>
      <c r="EJ14" s="235"/>
      <c r="EK14" s="235"/>
      <c r="EL14" s="235"/>
      <c r="EM14" s="235"/>
      <c r="EN14" s="235"/>
      <c r="EO14" s="235"/>
      <c r="EP14" s="235"/>
      <c r="EQ14" s="235"/>
      <c r="ER14" s="235"/>
      <c r="ES14" s="235"/>
      <c r="ET14" s="235"/>
      <c r="EU14" s="235"/>
      <c r="EV14" s="235"/>
      <c r="EW14" s="235"/>
      <c r="EX14" s="235"/>
      <c r="EY14" s="235"/>
      <c r="EZ14" s="235"/>
      <c r="FA14" s="235"/>
      <c r="FB14" s="235"/>
      <c r="FC14" s="235"/>
      <c r="FD14" s="235"/>
      <c r="FE14" s="235"/>
      <c r="FF14" s="235"/>
      <c r="FG14" s="235"/>
      <c r="FH14" s="235"/>
      <c r="FI14" s="235"/>
      <c r="FJ14" s="235"/>
      <c r="FK14" s="235"/>
      <c r="FL14" s="235"/>
      <c r="FM14" s="235"/>
      <c r="FN14" s="235"/>
      <c r="FO14" s="235"/>
      <c r="FP14" s="235"/>
      <c r="FQ14" s="235"/>
      <c r="FR14" s="235"/>
      <c r="FS14" s="235"/>
      <c r="FT14" s="235"/>
      <c r="FU14" s="235"/>
      <c r="FV14" s="235"/>
      <c r="FW14" s="235"/>
      <c r="FX14" s="235"/>
      <c r="FY14" s="235"/>
      <c r="FZ14" s="235"/>
      <c r="GA14" s="235"/>
      <c r="GB14" s="235"/>
      <c r="GC14" s="235"/>
      <c r="GD14" s="235"/>
      <c r="GE14" s="235"/>
      <c r="GF14" s="235"/>
      <c r="GG14" s="235"/>
      <c r="GH14" s="235"/>
      <c r="GI14" s="235"/>
      <c r="GJ14" s="235"/>
      <c r="GK14" s="235"/>
      <c r="GL14" s="235"/>
      <c r="GM14" s="235"/>
      <c r="GN14" s="235"/>
      <c r="GO14" s="235"/>
      <c r="GP14" s="235"/>
      <c r="GQ14" s="235"/>
      <c r="GR14" s="235"/>
      <c r="GS14" s="235"/>
      <c r="GT14" s="235"/>
      <c r="GU14" s="235"/>
      <c r="GV14" s="235"/>
      <c r="GW14" s="235"/>
      <c r="GX14" s="235"/>
      <c r="GY14" s="235"/>
      <c r="GZ14" s="235"/>
      <c r="HA14" s="235"/>
      <c r="HB14" s="235"/>
      <c r="HC14" s="235"/>
      <c r="HD14" s="235"/>
      <c r="HE14" s="235"/>
      <c r="HF14" s="235"/>
      <c r="HG14" s="235"/>
      <c r="HH14" s="235"/>
      <c r="HI14" s="235"/>
      <c r="HJ14" s="235"/>
      <c r="HK14" s="235"/>
      <c r="HL14" s="235"/>
      <c r="HM14" s="235"/>
      <c r="HN14" s="235"/>
      <c r="HO14" s="235"/>
      <c r="HP14" s="235"/>
      <c r="HQ14" s="235"/>
      <c r="HR14" s="235"/>
      <c r="HS14" s="235"/>
      <c r="HT14" s="235"/>
      <c r="HU14" s="235"/>
      <c r="HV14" s="235"/>
      <c r="HW14" s="235"/>
      <c r="HX14" s="235"/>
      <c r="HY14" s="235"/>
      <c r="HZ14" s="235"/>
      <c r="IA14" s="235"/>
      <c r="IB14" s="235"/>
      <c r="IC14" s="235"/>
      <c r="ID14" s="235"/>
      <c r="IE14" s="235"/>
      <c r="IF14" s="235"/>
      <c r="IG14" s="235"/>
      <c r="IH14" s="235"/>
      <c r="II14" s="235"/>
      <c r="IJ14" s="235"/>
      <c r="IK14" s="235"/>
      <c r="IL14" s="235"/>
      <c r="IM14" s="235"/>
      <c r="IN14" s="235"/>
      <c r="IO14" s="235"/>
      <c r="IP14" s="235"/>
      <c r="IQ14" s="235"/>
      <c r="IR14" s="235"/>
    </row>
    <row r="15" spans="1:256" ht="24.95" customHeight="1">
      <c r="A15" s="551" t="s">
        <v>192</v>
      </c>
      <c r="B15" s="552"/>
      <c r="C15" s="552"/>
      <c r="D15" s="552"/>
      <c r="E15" s="552"/>
      <c r="F15" s="552"/>
    </row>
  </sheetData>
  <mergeCells count="4">
    <mergeCell ref="A1:F1"/>
    <mergeCell ref="D2:F2"/>
    <mergeCell ref="A14:F14"/>
    <mergeCell ref="A15:F15"/>
  </mergeCells>
  <phoneticPr fontId="2" type="noConversion"/>
  <printOptions horizontalCentered="1"/>
  <pageMargins left="0.79027777777777797" right="0.79027777777777797" top="0.86527777777777803" bottom="0.70763888888888904" header="0.2" footer="0.47152777777777799"/>
  <pageSetup paperSize="9" firstPageNumber="7" orientation="portrait" useFirstPageNumber="1"/>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U16"/>
  <sheetViews>
    <sheetView showZeros="0" topLeftCell="A9" workbookViewId="0">
      <selection activeCell="H7" sqref="H7"/>
    </sheetView>
  </sheetViews>
  <sheetFormatPr defaultColWidth="9" defaultRowHeight="15.75"/>
  <cols>
    <col min="1" max="1" width="32.625" style="429" customWidth="1"/>
    <col min="2" max="2" width="9.875" style="429" hidden="1" customWidth="1"/>
    <col min="3" max="3" width="15.125" style="429" customWidth="1"/>
    <col min="4" max="4" width="15.125" style="429" hidden="1" customWidth="1"/>
    <col min="5" max="6" width="15.125" style="429" customWidth="1"/>
    <col min="7" max="255" width="9" style="429"/>
  </cols>
  <sheetData>
    <row r="1" spans="1:253" s="427" customFormat="1" ht="50.1" customHeight="1">
      <c r="A1" s="556" t="s">
        <v>16</v>
      </c>
      <c r="B1" s="556"/>
      <c r="C1" s="556"/>
      <c r="D1" s="556"/>
      <c r="E1" s="556"/>
      <c r="F1" s="556"/>
    </row>
    <row r="2" spans="1:253" s="428" customFormat="1" ht="26.25" customHeight="1">
      <c r="E2" s="557" t="s">
        <v>209</v>
      </c>
      <c r="F2" s="557"/>
    </row>
    <row r="3" spans="1:253" s="428" customFormat="1" ht="54.95" customHeight="1">
      <c r="A3" s="196" t="s">
        <v>133</v>
      </c>
      <c r="B3" s="430" t="s">
        <v>207</v>
      </c>
      <c r="C3" s="431" t="s">
        <v>195</v>
      </c>
      <c r="D3" s="432" t="s">
        <v>172</v>
      </c>
      <c r="E3" s="431" t="s">
        <v>135</v>
      </c>
      <c r="F3" s="431" t="s">
        <v>136</v>
      </c>
    </row>
    <row r="4" spans="1:253" s="428" customFormat="1" ht="54.95" customHeight="1">
      <c r="A4" s="433" t="s">
        <v>196</v>
      </c>
      <c r="B4" s="434"/>
      <c r="C4" s="434">
        <v>27</v>
      </c>
      <c r="D4" s="435"/>
      <c r="E4" s="434"/>
      <c r="F4" s="435"/>
    </row>
    <row r="5" spans="1:253" s="428" customFormat="1" ht="54.95" customHeight="1">
      <c r="A5" s="433" t="s">
        <v>197</v>
      </c>
      <c r="B5" s="434"/>
      <c r="C5" s="434">
        <v>39</v>
      </c>
      <c r="D5" s="435"/>
      <c r="E5" s="434">
        <v>140</v>
      </c>
      <c r="F5" s="435">
        <f t="shared" ref="F5" si="0">+(C5-E5)/E5*100</f>
        <v>-72.142857142857139</v>
      </c>
    </row>
    <row r="6" spans="1:253" s="428" customFormat="1" ht="54.95" customHeight="1">
      <c r="A6" s="433" t="s">
        <v>198</v>
      </c>
      <c r="B6" s="434"/>
      <c r="C6" s="434"/>
      <c r="D6" s="435"/>
      <c r="E6" s="434">
        <v>0</v>
      </c>
      <c r="F6" s="435"/>
    </row>
    <row r="7" spans="1:253" s="428" customFormat="1" ht="54.95" customHeight="1">
      <c r="A7" s="433" t="s">
        <v>199</v>
      </c>
      <c r="B7" s="434">
        <f>25100+291742</f>
        <v>316842</v>
      </c>
      <c r="C7" s="434">
        <f>177411+25100</f>
        <v>202511</v>
      </c>
      <c r="D7" s="435">
        <f>+C7/B7*100</f>
        <v>63.915453128057521</v>
      </c>
      <c r="E7" s="434">
        <v>171623</v>
      </c>
      <c r="F7" s="435">
        <f>+(C7-E7)/E7*100</f>
        <v>17.997587735909523</v>
      </c>
    </row>
    <row r="8" spans="1:253" s="428" customFormat="1" ht="54.95" customHeight="1">
      <c r="A8" s="433" t="s">
        <v>200</v>
      </c>
      <c r="B8" s="434"/>
      <c r="C8" s="434">
        <v>376</v>
      </c>
      <c r="D8" s="435"/>
      <c r="E8" s="434"/>
      <c r="F8" s="435"/>
    </row>
    <row r="9" spans="1:253" s="428" customFormat="1" ht="54.95" customHeight="1">
      <c r="A9" s="433" t="s">
        <v>201</v>
      </c>
      <c r="B9" s="434"/>
      <c r="C9" s="434"/>
      <c r="D9" s="435"/>
      <c r="E9" s="434">
        <v>0</v>
      </c>
      <c r="F9" s="435"/>
    </row>
    <row r="10" spans="1:253" s="428" customFormat="1" ht="54.95" customHeight="1">
      <c r="A10" s="433" t="s">
        <v>202</v>
      </c>
      <c r="B10" s="434">
        <v>94</v>
      </c>
      <c r="C10" s="434"/>
      <c r="D10" s="435"/>
      <c r="E10" s="434">
        <v>84</v>
      </c>
      <c r="F10" s="435">
        <f t="shared" ref="F10" si="1">+(C10-E10)/E10*100</f>
        <v>-100</v>
      </c>
    </row>
    <row r="11" spans="1:253" s="428" customFormat="1" ht="54.95" customHeight="1">
      <c r="A11" s="433" t="s">
        <v>203</v>
      </c>
      <c r="B11" s="434"/>
      <c r="C11" s="434"/>
      <c r="D11" s="435"/>
      <c r="E11" s="434">
        <v>0</v>
      </c>
      <c r="F11" s="435"/>
    </row>
    <row r="12" spans="1:253" s="428" customFormat="1" ht="54.95" customHeight="1">
      <c r="A12" s="433" t="s">
        <v>204</v>
      </c>
      <c r="B12" s="434"/>
      <c r="C12" s="434">
        <v>14586</v>
      </c>
      <c r="D12" s="435"/>
      <c r="E12" s="434">
        <v>7204</v>
      </c>
      <c r="F12" s="435">
        <f t="shared" ref="F12:F14" si="2">+(C12-E12)/E12*100</f>
        <v>102.47084952803998</v>
      </c>
    </row>
    <row r="13" spans="1:253" s="428" customFormat="1" ht="54.95" customHeight="1">
      <c r="A13" s="433" t="s">
        <v>205</v>
      </c>
      <c r="B13" s="434">
        <v>802</v>
      </c>
      <c r="C13" s="434">
        <v>2835</v>
      </c>
      <c r="D13" s="435">
        <f>+C13/B13*100</f>
        <v>353.49127182044884</v>
      </c>
      <c r="E13" s="434">
        <v>3397</v>
      </c>
      <c r="F13" s="435">
        <f t="shared" si="2"/>
        <v>-16.544009420076538</v>
      </c>
    </row>
    <row r="14" spans="1:253" s="428" customFormat="1" ht="54.95" customHeight="1">
      <c r="A14" s="436" t="s">
        <v>206</v>
      </c>
      <c r="B14" s="434">
        <f>SUM(B4:B13)</f>
        <v>317738</v>
      </c>
      <c r="C14" s="434">
        <f>SUM(C4:C13)</f>
        <v>220374</v>
      </c>
      <c r="D14" s="435">
        <f>+C14/B14*100</f>
        <v>69.357143306749592</v>
      </c>
      <c r="E14" s="434">
        <f>SUM(E4:E13)</f>
        <v>182448</v>
      </c>
      <c r="F14" s="435">
        <f t="shared" si="2"/>
        <v>20.78729281767956</v>
      </c>
    </row>
    <row r="15" spans="1:253" s="428" customFormat="1" ht="39" customHeight="1">
      <c r="A15" s="558"/>
      <c r="B15" s="559"/>
      <c r="C15" s="559"/>
      <c r="D15" s="559"/>
      <c r="E15" s="559"/>
      <c r="F15" s="559"/>
    </row>
    <row r="16" spans="1:253">
      <c r="IS16"/>
    </row>
  </sheetData>
  <mergeCells count="3">
    <mergeCell ref="A1:F1"/>
    <mergeCell ref="E2:F2"/>
    <mergeCell ref="A15:F15"/>
  </mergeCells>
  <phoneticPr fontId="2" type="noConversion"/>
  <printOptions horizontalCentered="1"/>
  <pageMargins left="0.79027777777777797" right="0.79027777777777797" top="0.97916666666666696" bottom="0.97916666666666696" header="0.2" footer="0.79027777777777797"/>
  <pageSetup paperSize="9" firstPageNumber="8" orientation="portrait" useFirstPageNumber="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43</vt:i4>
      </vt:variant>
      <vt:variant>
        <vt:lpstr>命名范围</vt:lpstr>
      </vt:variant>
      <vt:variant>
        <vt:i4>23</vt:i4>
      </vt:variant>
    </vt:vector>
  </HeadingPairs>
  <TitlesOfParts>
    <vt:vector size="66" baseType="lpstr">
      <vt:lpstr>目录</vt:lpstr>
      <vt:lpstr>汇总收执</vt:lpstr>
      <vt:lpstr>汇总支执</vt:lpstr>
      <vt:lpstr>本级收执</vt:lpstr>
      <vt:lpstr>本级支执</vt:lpstr>
      <vt:lpstr>汇总基收执</vt:lpstr>
      <vt:lpstr>汇总基支执</vt:lpstr>
      <vt:lpstr>本级基金收执</vt:lpstr>
      <vt:lpstr>本级基金支执</vt:lpstr>
      <vt:lpstr>国有资本执行总表</vt:lpstr>
      <vt:lpstr>社保执行总表</vt:lpstr>
      <vt:lpstr>汇总收预</vt:lpstr>
      <vt:lpstr>汇总支预</vt:lpstr>
      <vt:lpstr>汇总平衡</vt:lpstr>
      <vt:lpstr>本级收预</vt:lpstr>
      <vt:lpstr>本级支预</vt:lpstr>
      <vt:lpstr>本级平衡</vt:lpstr>
      <vt:lpstr>2019市本级支出明细表 </vt:lpstr>
      <vt:lpstr>2019基本支出明细表</vt:lpstr>
      <vt:lpstr>汇总基收预</vt:lpstr>
      <vt:lpstr>汇总基支预</vt:lpstr>
      <vt:lpstr>本级基收预</vt:lpstr>
      <vt:lpstr>本级基支预</vt:lpstr>
      <vt:lpstr>国资预算总表</vt:lpstr>
      <vt:lpstr>国资收入预算</vt:lpstr>
      <vt:lpstr>国资支出预算</vt:lpstr>
      <vt:lpstr>2019年社保预算总表</vt:lpstr>
      <vt:lpstr>社保基金收入表</vt:lpstr>
      <vt:lpstr>社保基金支出表</vt:lpstr>
      <vt:lpstr>企业养老收支表</vt:lpstr>
      <vt:lpstr>机关事业养老保险收支表</vt:lpstr>
      <vt:lpstr>失业收支表</vt:lpstr>
      <vt:lpstr>医疗收支表</vt:lpstr>
      <vt:lpstr>工伤收支表</vt:lpstr>
      <vt:lpstr>生育收支表</vt:lpstr>
      <vt:lpstr>税收返还和转移支付表</vt:lpstr>
      <vt:lpstr>税收返还分地区</vt:lpstr>
      <vt:lpstr>专项转移支付分地区</vt:lpstr>
      <vt:lpstr>政府性基金预算转移支付情况表</vt:lpstr>
      <vt:lpstr>基金预算转移支付分地区</vt:lpstr>
      <vt:lpstr>2019年市本级政府预算重点民生项目表</vt:lpstr>
      <vt:lpstr>一般债务限额余额表</vt:lpstr>
      <vt:lpstr>专项债务限额余额表</vt:lpstr>
      <vt:lpstr>本级基金收执!Print_Area</vt:lpstr>
      <vt:lpstr>本级基金支执!Print_Area</vt:lpstr>
      <vt:lpstr>本级收预!Print_Area</vt:lpstr>
      <vt:lpstr>本级收执!Print_Area</vt:lpstr>
      <vt:lpstr>本级支预!Print_Area</vt:lpstr>
      <vt:lpstr>本级支执!Print_Area</vt:lpstr>
      <vt:lpstr>国资预算总表!Print_Area</vt:lpstr>
      <vt:lpstr>国资支出预算!Print_Area</vt:lpstr>
      <vt:lpstr>汇总基收预!Print_Area</vt:lpstr>
      <vt:lpstr>汇总基收执!Print_Area</vt:lpstr>
      <vt:lpstr>汇总基支预!Print_Area</vt:lpstr>
      <vt:lpstr>汇总基支执!Print_Area</vt:lpstr>
      <vt:lpstr>汇总收预!Print_Area</vt:lpstr>
      <vt:lpstr>汇总收执!Print_Area</vt:lpstr>
      <vt:lpstr>汇总支预!Print_Area</vt:lpstr>
      <vt:lpstr>汇总支执!Print_Area</vt:lpstr>
      <vt:lpstr>'2019年市本级政府预算重点民生项目表'!Print_Titles</vt:lpstr>
      <vt:lpstr>本级基金支执!Print_Titles</vt:lpstr>
      <vt:lpstr>本级支预!Print_Titles</vt:lpstr>
      <vt:lpstr>汇总基收执!Print_Titles</vt:lpstr>
      <vt:lpstr>汇总收执!Print_Titles</vt:lpstr>
      <vt:lpstr>汇总支预!Print_Titles</vt:lpstr>
      <vt:lpstr>税收返还和转移支付表!Print_Titles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gkc</dc:creator>
  <cp:lastModifiedBy>Administrator</cp:lastModifiedBy>
  <cp:lastPrinted>2019-01-24T02:04:00Z</cp:lastPrinted>
  <dcterms:created xsi:type="dcterms:W3CDTF">2006-09-28T09:45:00Z</dcterms:created>
  <dcterms:modified xsi:type="dcterms:W3CDTF">2021-05-31T08:27:04Z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