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4000" windowHeight="9840" firstSheet="2" activeTab="6"/>
  </bookViews>
  <sheets>
    <sheet name="测算总表" sheetId="3" state="hidden" r:id="rId1"/>
    <sheet name="2020市级公用经费测算" sheetId="9" state="hidden" r:id="rId2"/>
    <sheet name="分配总表1" sheetId="16" r:id="rId3"/>
    <sheet name="测算总表1" sheetId="14" r:id="rId4"/>
    <sheet name="2021公用经费" sheetId="11" r:id="rId5"/>
    <sheet name="生活补助" sheetId="12" r:id="rId6"/>
    <sheet name="校舍" sheetId="13" r:id="rId7"/>
  </sheets>
  <externalReferences>
    <externalReference r:id="rId8"/>
  </externalReferences>
  <calcPr calcId="124519"/>
</workbook>
</file>

<file path=xl/calcChain.xml><?xml version="1.0" encoding="utf-8"?>
<calcChain xmlns="http://schemas.openxmlformats.org/spreadsheetml/2006/main">
  <c r="W11" i="13"/>
  <c r="V11"/>
  <c r="U11"/>
  <c r="T11"/>
  <c r="H11"/>
  <c r="B11"/>
  <c r="W10"/>
  <c r="V10"/>
  <c r="U10"/>
  <c r="T10"/>
  <c r="N10"/>
  <c r="M10"/>
  <c r="L10"/>
  <c r="K10"/>
  <c r="J10"/>
  <c r="I10"/>
  <c r="H10"/>
  <c r="D10"/>
  <c r="C10"/>
  <c r="B10"/>
  <c r="W9"/>
  <c r="V9"/>
  <c r="U9"/>
  <c r="T9"/>
  <c r="P9"/>
  <c r="K9"/>
  <c r="G9"/>
  <c r="F9"/>
  <c r="E9"/>
  <c r="B9"/>
  <c r="W8"/>
  <c r="V8"/>
  <c r="U8"/>
  <c r="T8"/>
  <c r="P8"/>
  <c r="O8"/>
  <c r="N8"/>
  <c r="M8"/>
  <c r="L8"/>
  <c r="K8"/>
  <c r="J8"/>
  <c r="I8"/>
  <c r="H8"/>
  <c r="G8"/>
  <c r="F8"/>
  <c r="E8"/>
  <c r="D8"/>
  <c r="C8"/>
  <c r="B8"/>
  <c r="W7"/>
  <c r="V7"/>
  <c r="U7"/>
  <c r="T7"/>
  <c r="P7"/>
  <c r="O7"/>
  <c r="K7"/>
  <c r="H7"/>
  <c r="G7"/>
  <c r="F7"/>
  <c r="E7"/>
  <c r="B7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B6"/>
  <c r="AF13" i="12"/>
  <c r="AE13"/>
  <c r="AD13"/>
  <c r="AC13"/>
  <c r="Y13"/>
  <c r="W13"/>
  <c r="U13"/>
  <c r="T13"/>
  <c r="B13"/>
  <c r="AF12"/>
  <c r="AE12"/>
  <c r="AD12"/>
  <c r="AC12"/>
  <c r="Y12"/>
  <c r="V12"/>
  <c r="U12"/>
  <c r="S12"/>
  <c r="Q12"/>
  <c r="M12"/>
  <c r="K12"/>
  <c r="J12"/>
  <c r="I12"/>
  <c r="H12"/>
  <c r="B12"/>
  <c r="AF11"/>
  <c r="AE11"/>
  <c r="AD11"/>
  <c r="AC11"/>
  <c r="Y11"/>
  <c r="T11"/>
  <c r="S11"/>
  <c r="R11"/>
  <c r="Q11"/>
  <c r="M11"/>
  <c r="L11"/>
  <c r="K11"/>
  <c r="J11"/>
  <c r="I11"/>
  <c r="H11"/>
  <c r="B11"/>
  <c r="AF10"/>
  <c r="AE10"/>
  <c r="AD10"/>
  <c r="AC10"/>
  <c r="AB10"/>
  <c r="Y10"/>
  <c r="W10"/>
  <c r="V10"/>
  <c r="U10"/>
  <c r="T10"/>
  <c r="S10"/>
  <c r="R10"/>
  <c r="Q10"/>
  <c r="M10"/>
  <c r="K10"/>
  <c r="I10"/>
  <c r="H10"/>
  <c r="F10"/>
  <c r="E10"/>
  <c r="D10"/>
  <c r="C10"/>
  <c r="B10"/>
  <c r="AF9"/>
  <c r="AE9"/>
  <c r="AD9"/>
  <c r="AC9"/>
  <c r="Y9"/>
  <c r="T9"/>
  <c r="S9"/>
  <c r="R9"/>
  <c r="Q9"/>
  <c r="M9"/>
  <c r="L9"/>
  <c r="K9"/>
  <c r="J9"/>
  <c r="I9"/>
  <c r="H9"/>
  <c r="B9"/>
  <c r="AF8"/>
  <c r="AE8"/>
  <c r="AD8"/>
  <c r="AC8"/>
  <c r="Y8"/>
  <c r="V8"/>
  <c r="U8"/>
  <c r="T8"/>
  <c r="S8"/>
  <c r="R8"/>
  <c r="Q8"/>
  <c r="M8"/>
  <c r="L8"/>
  <c r="K8"/>
  <c r="J8"/>
  <c r="I8"/>
  <c r="H8"/>
  <c r="F8"/>
  <c r="D8"/>
  <c r="C8"/>
  <c r="B8"/>
  <c r="AF7"/>
  <c r="AE7"/>
  <c r="AD7"/>
  <c r="AC7"/>
  <c r="Y7"/>
  <c r="V7"/>
  <c r="T7"/>
  <c r="S7"/>
  <c r="R7"/>
  <c r="Q7"/>
  <c r="M7"/>
  <c r="L7"/>
  <c r="K7"/>
  <c r="J7"/>
  <c r="I7"/>
  <c r="H7"/>
  <c r="B7"/>
  <c r="AF6"/>
  <c r="AE6"/>
  <c r="AD6"/>
  <c r="AC6"/>
  <c r="AB6"/>
  <c r="AA6"/>
  <c r="Z6"/>
  <c r="Y6"/>
  <c r="X6"/>
  <c r="W6"/>
  <c r="V6"/>
  <c r="U6"/>
  <c r="T6"/>
  <c r="S6"/>
  <c r="R6"/>
  <c r="Q6"/>
  <c r="O6"/>
  <c r="N6"/>
  <c r="M6"/>
  <c r="L6"/>
  <c r="K6"/>
  <c r="J6"/>
  <c r="I6"/>
  <c r="H6"/>
  <c r="F6"/>
  <c r="E6"/>
  <c r="D6"/>
  <c r="C6"/>
  <c r="B6"/>
  <c r="Z12" i="11"/>
  <c r="W12"/>
  <c r="S12"/>
  <c r="Q12"/>
  <c r="P12"/>
  <c r="O12"/>
  <c r="N12"/>
  <c r="G12"/>
  <c r="B12"/>
  <c r="Z11"/>
  <c r="W11"/>
  <c r="S11"/>
  <c r="Q11"/>
  <c r="P11"/>
  <c r="O11"/>
  <c r="N11"/>
  <c r="G11"/>
  <c r="B11"/>
  <c r="Z10"/>
  <c r="W10"/>
  <c r="S10"/>
  <c r="Q10"/>
  <c r="P10"/>
  <c r="O10"/>
  <c r="N10"/>
  <c r="G10"/>
  <c r="B10"/>
  <c r="Z9"/>
  <c r="W9"/>
  <c r="V9"/>
  <c r="S9"/>
  <c r="Q9"/>
  <c r="P9"/>
  <c r="O9"/>
  <c r="N9"/>
  <c r="I9"/>
  <c r="H9"/>
  <c r="G9"/>
  <c r="F9"/>
  <c r="E9"/>
  <c r="D9"/>
  <c r="C9"/>
  <c r="B9"/>
  <c r="Z8"/>
  <c r="W8"/>
  <c r="S8"/>
  <c r="N8"/>
  <c r="B8"/>
  <c r="Z7"/>
  <c r="Y7"/>
  <c r="W7"/>
  <c r="T7"/>
  <c r="S7"/>
  <c r="R7"/>
  <c r="Q7"/>
  <c r="P7"/>
  <c r="N7"/>
  <c r="I7"/>
  <c r="H7"/>
  <c r="G7"/>
  <c r="F7"/>
  <c r="E7"/>
  <c r="D7"/>
  <c r="C7"/>
  <c r="B7"/>
  <c r="Z6"/>
  <c r="Y6"/>
  <c r="W6"/>
  <c r="S6"/>
  <c r="R6"/>
  <c r="Q6"/>
  <c r="P6"/>
  <c r="O6"/>
  <c r="N6"/>
  <c r="G6"/>
  <c r="C6"/>
  <c r="B6"/>
  <c r="Z5"/>
  <c r="Y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B5"/>
  <c r="E13" i="14"/>
  <c r="D13"/>
  <c r="C13"/>
  <c r="B13" s="1"/>
  <c r="E12"/>
  <c r="D12"/>
  <c r="C12"/>
  <c r="B12" s="1"/>
  <c r="E11"/>
  <c r="D11"/>
  <c r="C11"/>
  <c r="B11" s="1"/>
  <c r="E10"/>
  <c r="D10"/>
  <c r="C10"/>
  <c r="B10" s="1"/>
  <c r="F9"/>
  <c r="E9"/>
  <c r="D9"/>
  <c r="C9"/>
  <c r="B9" s="1"/>
  <c r="F8"/>
  <c r="E8"/>
  <c r="D8"/>
  <c r="C8"/>
  <c r="B8" s="1"/>
  <c r="F7"/>
  <c r="D7"/>
  <c r="C7"/>
  <c r="B7" s="1"/>
  <c r="F6"/>
  <c r="E6"/>
  <c r="D6"/>
  <c r="C6"/>
  <c r="B6"/>
  <c r="N12" i="16"/>
  <c r="M12"/>
  <c r="L12"/>
  <c r="K12"/>
  <c r="G12"/>
  <c r="N11"/>
  <c r="M11"/>
  <c r="L11"/>
  <c r="K11"/>
  <c r="J11"/>
  <c r="G11"/>
  <c r="N10"/>
  <c r="M10"/>
  <c r="L10"/>
  <c r="K10"/>
  <c r="G10"/>
  <c r="N9"/>
  <c r="M9"/>
  <c r="L9"/>
  <c r="K9"/>
  <c r="J9"/>
  <c r="G9"/>
  <c r="N8"/>
  <c r="M8"/>
  <c r="L8"/>
  <c r="I8"/>
  <c r="H8"/>
  <c r="G8"/>
  <c r="N7"/>
  <c r="M7"/>
  <c r="L7"/>
  <c r="K7"/>
  <c r="J7"/>
  <c r="I7"/>
  <c r="G7"/>
  <c r="N6"/>
  <c r="M6"/>
  <c r="L6"/>
  <c r="K6"/>
  <c r="J6"/>
  <c r="I6"/>
  <c r="H6"/>
  <c r="G6"/>
  <c r="N5"/>
  <c r="M5"/>
  <c r="L5"/>
  <c r="K5"/>
  <c r="J5"/>
  <c r="I5"/>
  <c r="H5"/>
  <c r="G5"/>
  <c r="S11" i="9"/>
  <c r="M11"/>
  <c r="L11"/>
  <c r="K11"/>
  <c r="J11"/>
  <c r="G11"/>
  <c r="B11"/>
  <c r="S10"/>
  <c r="M10"/>
  <c r="L10"/>
  <c r="K10"/>
  <c r="J10"/>
  <c r="G10"/>
  <c r="B10"/>
  <c r="S9"/>
  <c r="M9"/>
  <c r="L9"/>
  <c r="K9"/>
  <c r="J9"/>
  <c r="G9"/>
  <c r="B9"/>
  <c r="S8"/>
  <c r="M8"/>
  <c r="L8"/>
  <c r="K8"/>
  <c r="J8"/>
  <c r="I8"/>
  <c r="H8"/>
  <c r="G8"/>
  <c r="F8"/>
  <c r="E8"/>
  <c r="D8"/>
  <c r="C8"/>
  <c r="B8"/>
  <c r="S7"/>
  <c r="O7"/>
  <c r="N7"/>
  <c r="M7"/>
  <c r="L7"/>
  <c r="K7"/>
  <c r="J7"/>
  <c r="I7"/>
  <c r="H7"/>
  <c r="G7"/>
  <c r="C7"/>
  <c r="B7"/>
  <c r="S6"/>
  <c r="O6"/>
  <c r="N6"/>
  <c r="M6"/>
  <c r="L6"/>
  <c r="K6"/>
  <c r="J6"/>
  <c r="G6"/>
  <c r="C6"/>
  <c r="B6"/>
  <c r="S5"/>
  <c r="R5"/>
  <c r="Q5"/>
  <c r="P5"/>
  <c r="O5"/>
  <c r="N5"/>
  <c r="M5"/>
  <c r="L5"/>
  <c r="K5"/>
  <c r="J5"/>
  <c r="I5"/>
  <c r="H5"/>
  <c r="G5"/>
  <c r="F5"/>
  <c r="E5"/>
  <c r="D5"/>
  <c r="C5"/>
  <c r="B5"/>
  <c r="F12" i="3"/>
  <c r="E12"/>
  <c r="D12"/>
  <c r="C12"/>
  <c r="B12"/>
  <c r="F11"/>
  <c r="E11"/>
  <c r="D11"/>
  <c r="C11"/>
  <c r="B11"/>
  <c r="F10"/>
  <c r="E10"/>
  <c r="D10"/>
  <c r="C10"/>
  <c r="B10"/>
  <c r="F9"/>
  <c r="E9"/>
  <c r="D9"/>
  <c r="C9"/>
  <c r="B9"/>
  <c r="Q8"/>
  <c r="F8"/>
  <c r="E8"/>
  <c r="D8"/>
  <c r="C8"/>
  <c r="B8"/>
  <c r="Q7"/>
  <c r="I7"/>
  <c r="H7"/>
  <c r="F7"/>
  <c r="E7"/>
  <c r="D7"/>
  <c r="C7"/>
  <c r="B7"/>
  <c r="Q6"/>
  <c r="F6"/>
  <c r="E6"/>
  <c r="D6"/>
  <c r="C6"/>
  <c r="B6"/>
  <c r="T5"/>
  <c r="Q5"/>
  <c r="F5"/>
  <c r="E5"/>
  <c r="D5"/>
  <c r="C5"/>
  <c r="B5"/>
</calcChain>
</file>

<file path=xl/sharedStrings.xml><?xml version="1.0" encoding="utf-8"?>
<sst xmlns="http://schemas.openxmlformats.org/spreadsheetml/2006/main" count="262" uniqueCount="78">
  <si>
    <t>附件2：</t>
  </si>
  <si>
    <t>2020年城乡义务教育经费保障机制资金测算总表</t>
  </si>
  <si>
    <t>市县名称</t>
  </si>
  <si>
    <t>总计</t>
  </si>
  <si>
    <t>公用经费补助资金</t>
  </si>
  <si>
    <t>家庭经济困难寄宿生生活补助资金</t>
  </si>
  <si>
    <t>校舍安全保障资金</t>
  </si>
  <si>
    <t>小计</t>
  </si>
  <si>
    <t>中央</t>
  </si>
  <si>
    <t>省级</t>
  </si>
  <si>
    <t>市级</t>
  </si>
  <si>
    <t>县级</t>
  </si>
  <si>
    <t>市本级及所辖区小计</t>
  </si>
  <si>
    <t>资阳区</t>
  </si>
  <si>
    <t>赫山区</t>
  </si>
  <si>
    <t>大通湖区</t>
  </si>
  <si>
    <t>市本级小计</t>
  </si>
  <si>
    <t>朝阳国际实验学校</t>
  </si>
  <si>
    <t>益师艺术学校</t>
  </si>
  <si>
    <t>市特校</t>
  </si>
  <si>
    <t>附件：</t>
  </si>
  <si>
    <t>2021年义务教育阶段公用经费补助资金分配表</t>
  </si>
  <si>
    <t>市县</t>
  </si>
  <si>
    <t>2020年学生人数</t>
  </si>
  <si>
    <t>2020年寄宿生人数</t>
  </si>
  <si>
    <t xml:space="preserve">2021年各级应分担资金（万元）
（按新标准测算）                                      </t>
  </si>
  <si>
    <t>湘财预[2020]336号已提前下达
（万元）</t>
  </si>
  <si>
    <t>此次下达资金数(万元)</t>
  </si>
  <si>
    <t>普通小学</t>
  </si>
  <si>
    <t>普通初中</t>
  </si>
  <si>
    <t>特教小学</t>
  </si>
  <si>
    <t>特教初中</t>
  </si>
  <si>
    <t>小学</t>
  </si>
  <si>
    <t>初中</t>
  </si>
  <si>
    <t>合计</t>
  </si>
  <si>
    <t>中央（60%）</t>
  </si>
  <si>
    <t>省级（20%）</t>
  </si>
  <si>
    <t>市级（8%）</t>
  </si>
  <si>
    <t>县级（12%）</t>
  </si>
  <si>
    <t>中央及省</t>
  </si>
  <si>
    <t>实际下达</t>
  </si>
  <si>
    <t>市本级及所辖区  小计</t>
  </si>
  <si>
    <t xml:space="preserve">    说明：根据2020年财教（2020）91号标准：年生均小学650元，初中850元。湘办发[2020]9号：寄宿生生均提标100元由省与市县分担。</t>
  </si>
  <si>
    <t>附件1：</t>
  </si>
  <si>
    <t>2021年城乡义务教育经费保障机制资金分配总表</t>
  </si>
  <si>
    <t>总计应安排金额（万元）</t>
  </si>
  <si>
    <t>湘财预[2020]336号、湘财预[2020]341号已提前下达
（万元）</t>
  </si>
  <si>
    <t>此次下达资金数（万元）</t>
  </si>
  <si>
    <t>附件3：</t>
  </si>
  <si>
    <t>2020年不足100人的学校</t>
  </si>
  <si>
    <t>小学个数</t>
  </si>
  <si>
    <t>小学实有人数</t>
  </si>
  <si>
    <t>初中个数</t>
  </si>
  <si>
    <t>初中实有人数</t>
  </si>
  <si>
    <t>大通湖管理区</t>
  </si>
  <si>
    <t>附件4：</t>
  </si>
  <si>
    <t>2021年义务教育阶段家庭经济困难生活费补助分配表</t>
  </si>
  <si>
    <t>2020年寄宿生人数（人）</t>
  </si>
  <si>
    <t>补助比例</t>
  </si>
  <si>
    <t>2020年寄宿生补助面人数</t>
  </si>
  <si>
    <t>2020年非寄宿生人数（人）</t>
  </si>
  <si>
    <t>2020年非寄宿生补助面（人）</t>
  </si>
  <si>
    <t>全年应安排家庭困难生活费
补助资金（万元）</t>
  </si>
  <si>
    <t>附件5：</t>
  </si>
  <si>
    <t>2021年义务教育学校校舍安全保障长效机制资金分配表</t>
  </si>
  <si>
    <t>2020年学生数</t>
  </si>
  <si>
    <t>2020年学生数（农村）</t>
  </si>
  <si>
    <t>2020年学生数（城市）</t>
  </si>
  <si>
    <t>全年资金（万元）</t>
  </si>
  <si>
    <t>日常维修和抗震加固资金</t>
  </si>
  <si>
    <t>湘财预[2020]336号、湘财预[2020]341号已提前下达（万元）</t>
    <phoneticPr fontId="16" type="noConversion"/>
  </si>
  <si>
    <t>市本级及所
辖区小计</t>
    <phoneticPr fontId="16" type="noConversion"/>
  </si>
  <si>
    <r>
      <rPr>
        <sz val="22"/>
        <rFont val="方正小标宋简体"/>
        <family val="3"/>
        <charset val="134"/>
      </rPr>
      <t>2021年城乡义务教育经费保障机制资金测算总表</t>
    </r>
    <r>
      <rPr>
        <sz val="18"/>
        <rFont val="方正小标宋_GBK"/>
        <charset val="134"/>
      </rPr>
      <t/>
    </r>
    <phoneticPr fontId="22" type="noConversion"/>
  </si>
  <si>
    <t>单位：万元</t>
    <phoneticPr fontId="22" type="noConversion"/>
  </si>
  <si>
    <r>
      <t xml:space="preserve">总 </t>
    </r>
    <r>
      <rPr>
        <b/>
        <sz val="10"/>
        <rFont val="宋体"/>
        <family val="3"/>
        <charset val="134"/>
      </rPr>
      <t xml:space="preserve"> </t>
    </r>
    <r>
      <rPr>
        <b/>
        <sz val="10"/>
        <rFont val="宋体"/>
        <charset val="134"/>
      </rPr>
      <t>计</t>
    </r>
    <phoneticPr fontId="22" type="noConversion"/>
  </si>
  <si>
    <t>湘财预[2020]336号、湘财预[2020]341号已提前下达（万元）</t>
    <phoneticPr fontId="22" type="noConversion"/>
  </si>
  <si>
    <t>特教
小学</t>
    <phoneticPr fontId="22" type="noConversion"/>
  </si>
  <si>
    <t>特教
初中</t>
    <phoneticPr fontId="22" type="noConversion"/>
  </si>
</sst>
</file>

<file path=xl/styles.xml><?xml version="1.0" encoding="utf-8"?>
<styleSheet xmlns="http://schemas.openxmlformats.org/spreadsheetml/2006/main">
  <numFmts count="7">
    <numFmt numFmtId="176" formatCode="0.00_ "/>
    <numFmt numFmtId="178" formatCode="0_ ;[Red]\-0\ "/>
    <numFmt numFmtId="180" formatCode="0_);[Red]\(0\)"/>
    <numFmt numFmtId="181" formatCode="0_ "/>
    <numFmt numFmtId="182" formatCode="0.00_);[Red]\(0.00\)"/>
    <numFmt numFmtId="183" formatCode="0.00;[Red]0.00"/>
    <numFmt numFmtId="184" formatCode="0.00_ ;[Red]\-0.00\ "/>
  </numFmts>
  <fonts count="32">
    <font>
      <sz val="11"/>
      <color theme="1"/>
      <name val="宋体"/>
      <charset val="134"/>
      <scheme val="minor"/>
    </font>
    <font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8"/>
      <name val="方正小标宋_GBK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Times New Roman"/>
      <family val="1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sz val="22"/>
      <name val="方正小标宋简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charset val="134"/>
      <scheme val="minor"/>
    </font>
    <font>
      <sz val="18"/>
      <name val="方正小标宋简体"/>
      <family val="3"/>
      <charset val="134"/>
    </font>
    <font>
      <sz val="12"/>
      <name val="仿宋_GB2312"/>
      <family val="3"/>
      <charset val="134"/>
    </font>
    <font>
      <sz val="24"/>
      <color theme="1"/>
      <name val="方正小标宋简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ajor"/>
    </font>
    <font>
      <b/>
      <sz val="9"/>
      <name val="黑体"/>
      <family val="3"/>
      <charset val="134"/>
    </font>
    <font>
      <sz val="10"/>
      <name val="宋体"/>
      <family val="3"/>
      <charset val="134"/>
      <scheme val="major"/>
    </font>
    <font>
      <sz val="12"/>
      <color rgb="FFFF0000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/>
  </cellStyleXfs>
  <cellXfs count="12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81" fontId="2" fillId="0" borderId="1" xfId="0" applyNumberFormat="1" applyFont="1" applyBorder="1" applyAlignment="1">
      <alignment horizontal="center" vertical="center"/>
    </xf>
    <xf numFmtId="181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/>
    </xf>
    <xf numFmtId="180" fontId="7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180" fontId="8" fillId="3" borderId="1" xfId="3" applyNumberFormat="1" applyFont="1" applyFill="1" applyBorder="1" applyAlignment="1">
      <alignment horizontal="center" vertical="center" wrapText="1"/>
    </xf>
    <xf numFmtId="182" fontId="1" fillId="0" borderId="1" xfId="0" applyNumberFormat="1" applyFont="1" applyFill="1" applyBorder="1" applyAlignment="1">
      <alignment horizontal="center" vertical="center"/>
    </xf>
    <xf numFmtId="182" fontId="7" fillId="3" borderId="1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180" fontId="4" fillId="3" borderId="1" xfId="0" applyNumberFormat="1" applyFont="1" applyFill="1" applyBorder="1" applyAlignment="1">
      <alignment horizontal="center" vertical="center"/>
    </xf>
    <xf numFmtId="181" fontId="1" fillId="2" borderId="1" xfId="0" applyNumberFormat="1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0" xfId="1">
      <alignment vertical="center"/>
    </xf>
    <xf numFmtId="0" fontId="0" fillId="0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81" fontId="0" fillId="0" borderId="0" xfId="0" applyNumberFormat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 vertical="center"/>
    </xf>
    <xf numFmtId="0" fontId="14" fillId="0" borderId="0" xfId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 wrapText="1"/>
    </xf>
    <xf numFmtId="180" fontId="18" fillId="0" borderId="1" xfId="1" applyNumberFormat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80" fontId="18" fillId="0" borderId="1" xfId="1" applyNumberFormat="1" applyFont="1" applyFill="1" applyBorder="1" applyAlignment="1">
      <alignment horizontal="center" vertical="center" wrapText="1"/>
    </xf>
    <xf numFmtId="180" fontId="17" fillId="0" borderId="1" xfId="0" applyNumberFormat="1" applyFont="1" applyFill="1" applyBorder="1" applyAlignment="1">
      <alignment horizontal="center" vertical="center"/>
    </xf>
    <xf numFmtId="182" fontId="17" fillId="0" borderId="1" xfId="1" applyNumberFormat="1" applyFont="1" applyFill="1" applyBorder="1" applyAlignment="1">
      <alignment horizontal="center" vertical="center"/>
    </xf>
    <xf numFmtId="180" fontId="17" fillId="0" borderId="1" xfId="1" applyNumberFormat="1" applyFont="1" applyFill="1" applyBorder="1" applyAlignment="1">
      <alignment horizontal="center" vertical="center"/>
    </xf>
    <xf numFmtId="183" fontId="17" fillId="0" borderId="1" xfId="1" applyNumberFormat="1" applyFont="1" applyFill="1" applyBorder="1" applyAlignment="1">
      <alignment horizontal="center" vertical="center"/>
    </xf>
    <xf numFmtId="182" fontId="17" fillId="0" borderId="1" xfId="0" applyNumberFormat="1" applyFont="1" applyFill="1" applyBorder="1" applyAlignment="1">
      <alignment horizontal="center" vertical="center"/>
    </xf>
    <xf numFmtId="176" fontId="17" fillId="0" borderId="1" xfId="1" applyNumberFormat="1" applyFont="1" applyFill="1" applyBorder="1" applyAlignment="1">
      <alignment horizontal="center" vertical="center"/>
    </xf>
    <xf numFmtId="184" fontId="17" fillId="0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 wrapText="1"/>
    </xf>
    <xf numFmtId="180" fontId="18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right" vertical="center" wrapText="1"/>
    </xf>
    <xf numFmtId="0" fontId="23" fillId="0" borderId="0" xfId="0" applyFont="1" applyFill="1" applyBorder="1" applyAlignment="1">
      <alignment horizontal="right" vertical="center" wrapText="1"/>
    </xf>
    <xf numFmtId="180" fontId="15" fillId="0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28" fillId="0" borderId="1" xfId="3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11" xfId="3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 wrapText="1"/>
    </xf>
    <xf numFmtId="180" fontId="29" fillId="0" borderId="2" xfId="1" applyNumberFormat="1" applyFont="1" applyFill="1" applyBorder="1" applyAlignment="1">
      <alignment horizontal="center" vertical="center" wrapText="1"/>
    </xf>
    <xf numFmtId="180" fontId="29" fillId="0" borderId="3" xfId="1" applyNumberFormat="1" applyFont="1" applyFill="1" applyBorder="1" applyAlignment="1">
      <alignment horizontal="center" vertical="center" wrapText="1"/>
    </xf>
    <xf numFmtId="180" fontId="29" fillId="0" borderId="4" xfId="1" applyNumberFormat="1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12" xfId="3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180" fontId="29" fillId="0" borderId="5" xfId="1" applyNumberFormat="1" applyFont="1" applyFill="1" applyBorder="1" applyAlignment="1">
      <alignment horizontal="center" vertical="center" wrapText="1"/>
    </xf>
    <xf numFmtId="180" fontId="29" fillId="0" borderId="6" xfId="1" applyNumberFormat="1" applyFont="1" applyFill="1" applyBorder="1" applyAlignment="1">
      <alignment horizontal="center" vertical="center" wrapText="1"/>
    </xf>
    <xf numFmtId="180" fontId="29" fillId="0" borderId="7" xfId="1" applyNumberFormat="1" applyFont="1" applyFill="1" applyBorder="1" applyAlignment="1">
      <alignment horizontal="center" vertical="center" wrapText="1"/>
    </xf>
    <xf numFmtId="0" fontId="28" fillId="0" borderId="1" xfId="3" applyFont="1" applyFill="1" applyBorder="1" applyAlignment="1">
      <alignment horizontal="center" vertical="center" wrapText="1"/>
    </xf>
    <xf numFmtId="0" fontId="28" fillId="0" borderId="10" xfId="3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180" fontId="19" fillId="0" borderId="1" xfId="0" applyNumberFormat="1" applyFont="1" applyFill="1" applyBorder="1" applyAlignment="1">
      <alignment horizontal="center" vertical="center"/>
    </xf>
    <xf numFmtId="180" fontId="19" fillId="0" borderId="8" xfId="0" applyNumberFormat="1" applyFont="1" applyFill="1" applyBorder="1" applyAlignment="1">
      <alignment horizontal="center" vertical="center"/>
    </xf>
    <xf numFmtId="9" fontId="19" fillId="0" borderId="1" xfId="0" applyNumberFormat="1" applyFont="1" applyFill="1" applyBorder="1" applyAlignment="1">
      <alignment horizontal="center" vertical="center" wrapText="1"/>
    </xf>
    <xf numFmtId="10" fontId="19" fillId="0" borderId="1" xfId="0" applyNumberFormat="1" applyFont="1" applyFill="1" applyBorder="1" applyAlignment="1">
      <alignment horizontal="center" vertical="center"/>
    </xf>
    <xf numFmtId="181" fontId="19" fillId="0" borderId="1" xfId="0" applyNumberFormat="1" applyFont="1" applyFill="1" applyBorder="1" applyAlignment="1">
      <alignment horizontal="center" vertical="center"/>
    </xf>
    <xf numFmtId="0" fontId="19" fillId="3" borderId="1" xfId="2" applyFont="1" applyFill="1" applyBorder="1" applyAlignment="1">
      <alignment horizontal="center" vertical="center"/>
    </xf>
    <xf numFmtId="0" fontId="19" fillId="0" borderId="1" xfId="2" applyFont="1" applyFill="1" applyBorder="1" applyAlignment="1">
      <alignment horizontal="center" vertical="center"/>
    </xf>
    <xf numFmtId="180" fontId="31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14" fillId="2" borderId="6" xfId="0" applyFont="1" applyFill="1" applyBorder="1" applyAlignment="1">
      <alignment horizontal="center" vertical="center"/>
    </xf>
    <xf numFmtId="0" fontId="28" fillId="2" borderId="2" xfId="3" applyFont="1" applyFill="1" applyBorder="1" applyAlignment="1">
      <alignment horizontal="center" vertical="center" wrapText="1"/>
    </xf>
    <xf numFmtId="0" fontId="28" fillId="2" borderId="3" xfId="3" applyFont="1" applyFill="1" applyBorder="1" applyAlignment="1">
      <alignment horizontal="center" vertical="center" wrapText="1"/>
    </xf>
    <xf numFmtId="0" fontId="28" fillId="2" borderId="4" xfId="3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180" fontId="29" fillId="0" borderId="1" xfId="1" applyNumberFormat="1" applyFont="1" applyFill="1" applyBorder="1" applyAlignment="1">
      <alignment horizontal="center" vertical="center" wrapText="1"/>
    </xf>
    <xf numFmtId="0" fontId="28" fillId="2" borderId="5" xfId="3" applyFont="1" applyFill="1" applyBorder="1" applyAlignment="1">
      <alignment horizontal="center" vertical="center" wrapText="1"/>
    </xf>
    <xf numFmtId="0" fontId="28" fillId="2" borderId="6" xfId="3" applyFont="1" applyFill="1" applyBorder="1" applyAlignment="1">
      <alignment horizontal="center" vertical="center" wrapText="1"/>
    </xf>
    <xf numFmtId="0" fontId="28" fillId="2" borderId="7" xfId="3" applyFont="1" applyFill="1" applyBorder="1" applyAlignment="1">
      <alignment horizontal="center" vertical="center" wrapText="1"/>
    </xf>
    <xf numFmtId="0" fontId="28" fillId="2" borderId="1" xfId="3" applyFont="1" applyFill="1" applyBorder="1" applyAlignment="1">
      <alignment horizontal="center" vertical="center" wrapText="1"/>
    </xf>
    <xf numFmtId="0" fontId="28" fillId="2" borderId="10" xfId="3" applyFont="1" applyFill="1" applyBorder="1" applyAlignment="1">
      <alignment horizontal="center" vertical="center" wrapText="1"/>
    </xf>
    <xf numFmtId="0" fontId="28" fillId="2" borderId="1" xfId="3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181" fontId="21" fillId="2" borderId="1" xfId="0" applyNumberFormat="1" applyFont="1" applyFill="1" applyBorder="1" applyAlignment="1">
      <alignment horizontal="center" vertical="center" wrapText="1"/>
    </xf>
    <xf numFmtId="176" fontId="21" fillId="0" borderId="1" xfId="0" applyNumberFormat="1" applyFont="1" applyFill="1" applyBorder="1" applyAlignment="1">
      <alignment horizontal="center" vertical="center" wrapText="1"/>
    </xf>
    <xf numFmtId="176" fontId="21" fillId="2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/>
    </xf>
    <xf numFmtId="178" fontId="21" fillId="2" borderId="1" xfId="0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 10" xfId="2"/>
    <cellStyle name="常规_Sheet1" xfId="3"/>
    <cellStyle name="常规_Sheet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wxid_qdosa8a1ho5w22\FileStorage\File\2021-08\2021&#32467;&#31639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测算总表"/>
      <sheetName val="2020市级公用经费测算"/>
      <sheetName val="分配总表1"/>
      <sheetName val="测算总表1"/>
      <sheetName val="2021公用经费"/>
      <sheetName val="生活补助"/>
      <sheetName val="校舍"/>
    </sheetNames>
    <sheetDataSet>
      <sheetData sheetId="0"/>
      <sheetData sheetId="1"/>
      <sheetData sheetId="2"/>
      <sheetData sheetId="3"/>
      <sheetData sheetId="4">
        <row r="6">
          <cell r="C6">
            <v>22308</v>
          </cell>
          <cell r="H6">
            <v>330</v>
          </cell>
          <cell r="T6">
            <v>1574</v>
          </cell>
          <cell r="U6">
            <v>539</v>
          </cell>
          <cell r="V6">
            <v>174.4</v>
          </cell>
        </row>
        <row r="7">
          <cell r="U7">
            <v>1479</v>
          </cell>
          <cell r="V7">
            <v>423.42</v>
          </cell>
        </row>
        <row r="8">
          <cell r="C8">
            <v>4757</v>
          </cell>
          <cell r="D8">
            <v>1854</v>
          </cell>
          <cell r="H8">
            <v>0</v>
          </cell>
          <cell r="I8">
            <v>778</v>
          </cell>
          <cell r="T8">
            <v>447</v>
          </cell>
          <cell r="U8">
            <v>85</v>
          </cell>
        </row>
        <row r="9">
          <cell r="V9">
            <v>111.26</v>
          </cell>
        </row>
        <row r="10">
          <cell r="C10">
            <v>1939</v>
          </cell>
          <cell r="D10">
            <v>961</v>
          </cell>
          <cell r="H10">
            <v>451</v>
          </cell>
          <cell r="I10">
            <v>344</v>
          </cell>
        </row>
        <row r="11">
          <cell r="D11">
            <v>3287</v>
          </cell>
          <cell r="I11">
            <v>582</v>
          </cell>
          <cell r="V11">
            <v>50.43</v>
          </cell>
        </row>
      </sheetData>
      <sheetData sheetId="5">
        <row r="7">
          <cell r="U7">
            <v>135</v>
          </cell>
          <cell r="AA7">
            <v>60</v>
          </cell>
          <cell r="AB7">
            <v>20</v>
          </cell>
        </row>
        <row r="8">
          <cell r="AA8">
            <v>144</v>
          </cell>
          <cell r="AB8">
            <v>27</v>
          </cell>
        </row>
        <row r="9">
          <cell r="U9">
            <v>24</v>
          </cell>
          <cell r="AA9">
            <v>15</v>
          </cell>
        </row>
        <row r="10">
          <cell r="AB10">
            <v>53</v>
          </cell>
        </row>
        <row r="12">
          <cell r="AB12">
            <v>30</v>
          </cell>
        </row>
      </sheetData>
      <sheetData sheetId="6">
        <row r="7">
          <cell r="Q7">
            <v>317</v>
          </cell>
          <cell r="R7">
            <v>174</v>
          </cell>
          <cell r="S7">
            <v>61.76</v>
          </cell>
        </row>
        <row r="8">
          <cell r="R8">
            <v>437</v>
          </cell>
          <cell r="S8">
            <v>143.52000000000001</v>
          </cell>
        </row>
        <row r="9">
          <cell r="Q9">
            <v>106</v>
          </cell>
          <cell r="R9">
            <v>30</v>
          </cell>
        </row>
        <row r="10">
          <cell r="S10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U12"/>
  <sheetViews>
    <sheetView workbookViewId="0">
      <selection activeCell="A3" sqref="A3:A4"/>
    </sheetView>
  </sheetViews>
  <sheetFormatPr defaultColWidth="9" defaultRowHeight="24.95" customHeight="1"/>
  <cols>
    <col min="1" max="5" width="7.25" customWidth="1"/>
    <col min="6" max="6" width="4.875" customWidth="1"/>
    <col min="7" max="10" width="7.25" customWidth="1"/>
    <col min="11" max="11" width="4.375" customWidth="1"/>
    <col min="12" max="15" width="7.25" customWidth="1"/>
    <col min="16" max="16" width="5.25" customWidth="1"/>
    <col min="17" max="20" width="7.25" customWidth="1"/>
    <col min="21" max="21" width="6.25" customWidth="1"/>
  </cols>
  <sheetData>
    <row r="1" spans="1:21" ht="24.95" customHeight="1">
      <c r="A1" t="s">
        <v>0</v>
      </c>
    </row>
    <row r="2" spans="1:21" ht="24.95" customHeight="1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21" ht="24.95" customHeight="1">
      <c r="A3" s="31" t="s">
        <v>2</v>
      </c>
      <c r="B3" s="31" t="s">
        <v>3</v>
      </c>
      <c r="C3" s="31"/>
      <c r="D3" s="31"/>
      <c r="E3" s="31"/>
      <c r="F3" s="31"/>
      <c r="G3" s="31" t="s">
        <v>4</v>
      </c>
      <c r="H3" s="31"/>
      <c r="I3" s="31"/>
      <c r="J3" s="31"/>
      <c r="K3" s="31"/>
      <c r="L3" s="31" t="s">
        <v>5</v>
      </c>
      <c r="M3" s="31"/>
      <c r="N3" s="31"/>
      <c r="O3" s="31"/>
      <c r="P3" s="31"/>
      <c r="Q3" s="31" t="s">
        <v>6</v>
      </c>
      <c r="R3" s="31"/>
      <c r="S3" s="31"/>
      <c r="T3" s="31"/>
      <c r="U3" s="31"/>
    </row>
    <row r="4" spans="1:21" ht="24.95" customHeight="1">
      <c r="A4" s="31"/>
      <c r="B4" t="s">
        <v>7</v>
      </c>
      <c r="C4" t="s">
        <v>8</v>
      </c>
      <c r="D4" t="s">
        <v>9</v>
      </c>
      <c r="E4" t="s">
        <v>10</v>
      </c>
      <c r="F4" t="s">
        <v>11</v>
      </c>
      <c r="G4" t="s">
        <v>7</v>
      </c>
      <c r="H4" t="s">
        <v>8</v>
      </c>
      <c r="I4" t="s">
        <v>9</v>
      </c>
      <c r="J4" t="s">
        <v>10</v>
      </c>
      <c r="K4" t="s">
        <v>11</v>
      </c>
      <c r="L4" t="s">
        <v>7</v>
      </c>
      <c r="M4" t="s">
        <v>8</v>
      </c>
      <c r="N4" t="s">
        <v>9</v>
      </c>
      <c r="O4" t="s">
        <v>10</v>
      </c>
      <c r="P4" t="s">
        <v>11</v>
      </c>
      <c r="Q4" t="s">
        <v>7</v>
      </c>
      <c r="R4" t="s">
        <v>8</v>
      </c>
      <c r="S4" t="s">
        <v>9</v>
      </c>
      <c r="T4" t="s">
        <v>10</v>
      </c>
      <c r="U4" t="s">
        <v>11</v>
      </c>
    </row>
    <row r="5" spans="1:21" ht="24.95" customHeight="1">
      <c r="A5" t="s">
        <v>12</v>
      </c>
      <c r="B5">
        <f>G5+L5+Q5</f>
        <v>12620.9864</v>
      </c>
      <c r="C5">
        <f>H5+M5+R5</f>
        <v>7370</v>
      </c>
      <c r="D5">
        <f>I5+N5+S5</f>
        <v>2203</v>
      </c>
      <c r="E5">
        <f>J5+O5+T5</f>
        <v>1755.2144000000001</v>
      </c>
      <c r="F5">
        <f>K5+P5+U5</f>
        <v>1171</v>
      </c>
      <c r="G5">
        <v>9718.9863999999998</v>
      </c>
      <c r="H5">
        <v>5789</v>
      </c>
      <c r="I5">
        <v>1670</v>
      </c>
      <c r="J5">
        <v>1162.2144000000001</v>
      </c>
      <c r="K5">
        <v>976</v>
      </c>
      <c r="L5">
        <v>974</v>
      </c>
      <c r="M5">
        <v>570</v>
      </c>
      <c r="N5">
        <v>181</v>
      </c>
      <c r="O5">
        <v>107</v>
      </c>
      <c r="P5">
        <v>116</v>
      </c>
      <c r="Q5">
        <f>SUM(Q6:Q9)</f>
        <v>1928</v>
      </c>
      <c r="R5">
        <v>1011</v>
      </c>
      <c r="S5">
        <v>352</v>
      </c>
      <c r="T5">
        <f t="shared" ref="T5" si="0">SUM(T6:T9)</f>
        <v>486</v>
      </c>
      <c r="U5">
        <v>79</v>
      </c>
    </row>
    <row r="6" spans="1:21" ht="24.95" customHeight="1">
      <c r="A6" t="s">
        <v>13</v>
      </c>
      <c r="B6">
        <f t="shared" ref="B6:B12" si="1">G6+L6+Q6</f>
        <v>3270.8</v>
      </c>
      <c r="C6">
        <f t="shared" ref="C6:C12" si="2">H6+M6+R6</f>
        <v>1843.8</v>
      </c>
      <c r="D6">
        <f t="shared" ref="D6:D12" si="3">I6+N6+S6</f>
        <v>585</v>
      </c>
      <c r="E6">
        <f t="shared" ref="E6:E12" si="4">J6+O6+T6</f>
        <v>409</v>
      </c>
      <c r="F6">
        <f t="shared" ref="F6:F12" si="5">K6+P6+U6</f>
        <v>433</v>
      </c>
      <c r="G6">
        <v>2510.8000000000002</v>
      </c>
      <c r="H6">
        <v>1423.8</v>
      </c>
      <c r="I6">
        <v>457</v>
      </c>
      <c r="J6">
        <v>269</v>
      </c>
      <c r="K6">
        <v>361</v>
      </c>
      <c r="L6">
        <v>352</v>
      </c>
      <c r="M6">
        <v>190</v>
      </c>
      <c r="N6">
        <v>72</v>
      </c>
      <c r="O6">
        <v>38</v>
      </c>
      <c r="P6">
        <v>52</v>
      </c>
      <c r="Q6">
        <f>SUM(R6:U6)</f>
        <v>408</v>
      </c>
      <c r="R6">
        <v>230</v>
      </c>
      <c r="S6">
        <v>56</v>
      </c>
      <c r="T6">
        <v>102</v>
      </c>
      <c r="U6">
        <v>20</v>
      </c>
    </row>
    <row r="7" spans="1:21" ht="24.95" customHeight="1">
      <c r="A7" t="s">
        <v>14</v>
      </c>
      <c r="B7">
        <f t="shared" si="1"/>
        <v>7786</v>
      </c>
      <c r="C7">
        <f t="shared" si="2"/>
        <v>4333</v>
      </c>
      <c r="D7">
        <f t="shared" si="3"/>
        <v>1630</v>
      </c>
      <c r="E7">
        <f t="shared" si="4"/>
        <v>1127</v>
      </c>
      <c r="F7">
        <f t="shared" si="5"/>
        <v>696</v>
      </c>
      <c r="G7">
        <v>5945</v>
      </c>
      <c r="H7">
        <f>3518-122</f>
        <v>3396</v>
      </c>
      <c r="I7">
        <f>1139+122</f>
        <v>1261</v>
      </c>
      <c r="J7">
        <v>705</v>
      </c>
      <c r="K7">
        <v>583</v>
      </c>
      <c r="L7">
        <v>472</v>
      </c>
      <c r="M7">
        <v>269</v>
      </c>
      <c r="N7">
        <v>92</v>
      </c>
      <c r="O7">
        <v>50</v>
      </c>
      <c r="P7">
        <v>61</v>
      </c>
      <c r="Q7">
        <f t="shared" ref="Q7:Q8" si="6">SUM(R7:U7)</f>
        <v>1369</v>
      </c>
      <c r="R7">
        <v>668</v>
      </c>
      <c r="S7">
        <v>277</v>
      </c>
      <c r="T7">
        <v>372</v>
      </c>
      <c r="U7">
        <v>52</v>
      </c>
    </row>
    <row r="8" spans="1:21" ht="24.95" customHeight="1">
      <c r="A8" t="s">
        <v>15</v>
      </c>
      <c r="B8">
        <f t="shared" si="1"/>
        <v>766</v>
      </c>
      <c r="C8">
        <f t="shared" si="2"/>
        <v>562</v>
      </c>
      <c r="D8">
        <f t="shared" si="3"/>
        <v>110</v>
      </c>
      <c r="E8">
        <f t="shared" si="4"/>
        <v>52</v>
      </c>
      <c r="F8">
        <f t="shared" si="5"/>
        <v>42</v>
      </c>
      <c r="G8">
        <v>574</v>
      </c>
      <c r="H8">
        <v>434</v>
      </c>
      <c r="I8">
        <v>74</v>
      </c>
      <c r="J8">
        <v>34</v>
      </c>
      <c r="K8">
        <v>32</v>
      </c>
      <c r="L8">
        <v>59</v>
      </c>
      <c r="M8">
        <v>33</v>
      </c>
      <c r="N8">
        <v>17</v>
      </c>
      <c r="O8">
        <v>6</v>
      </c>
      <c r="P8">
        <v>3</v>
      </c>
      <c r="Q8">
        <f t="shared" si="6"/>
        <v>133</v>
      </c>
      <c r="R8">
        <v>95</v>
      </c>
      <c r="S8">
        <v>19</v>
      </c>
      <c r="T8">
        <v>12</v>
      </c>
      <c r="U8">
        <v>7</v>
      </c>
    </row>
    <row r="9" spans="1:21" ht="24.95" customHeight="1">
      <c r="A9" t="s">
        <v>16</v>
      </c>
      <c r="B9">
        <f t="shared" si="1"/>
        <v>798</v>
      </c>
      <c r="C9">
        <f t="shared" si="2"/>
        <v>631</v>
      </c>
      <c r="D9">
        <f t="shared" si="3"/>
        <v>0</v>
      </c>
      <c r="E9">
        <f t="shared" si="4"/>
        <v>167.21440000000001</v>
      </c>
      <c r="F9">
        <f t="shared" si="5"/>
        <v>0</v>
      </c>
      <c r="G9">
        <v>689</v>
      </c>
      <c r="H9">
        <v>535</v>
      </c>
      <c r="J9">
        <v>154.21440000000001</v>
      </c>
      <c r="L9">
        <v>91</v>
      </c>
      <c r="M9">
        <v>78</v>
      </c>
      <c r="O9">
        <v>13</v>
      </c>
      <c r="Q9">
        <v>18</v>
      </c>
      <c r="R9">
        <v>18</v>
      </c>
    </row>
    <row r="10" spans="1:21" ht="24.95" customHeight="1">
      <c r="A10" t="s">
        <v>17</v>
      </c>
      <c r="B10">
        <f t="shared" si="1"/>
        <v>265.8</v>
      </c>
      <c r="C10">
        <f t="shared" si="2"/>
        <v>210</v>
      </c>
      <c r="D10">
        <f t="shared" si="3"/>
        <v>0</v>
      </c>
      <c r="E10">
        <f t="shared" si="4"/>
        <v>56</v>
      </c>
      <c r="F10">
        <f t="shared" si="5"/>
        <v>0</v>
      </c>
      <c r="G10">
        <v>226.8</v>
      </c>
      <c r="H10">
        <v>176</v>
      </c>
      <c r="J10">
        <v>51</v>
      </c>
      <c r="L10">
        <v>39</v>
      </c>
      <c r="M10">
        <v>34</v>
      </c>
      <c r="O10">
        <v>5</v>
      </c>
    </row>
    <row r="11" spans="1:21" ht="24.95" customHeight="1">
      <c r="A11" t="s">
        <v>18</v>
      </c>
      <c r="B11">
        <f t="shared" si="1"/>
        <v>341.44</v>
      </c>
      <c r="C11">
        <f t="shared" si="2"/>
        <v>266</v>
      </c>
      <c r="D11">
        <f t="shared" si="3"/>
        <v>0</v>
      </c>
      <c r="E11">
        <f t="shared" si="4"/>
        <v>75</v>
      </c>
      <c r="F11">
        <f t="shared" si="5"/>
        <v>0</v>
      </c>
      <c r="G11">
        <v>318.44</v>
      </c>
      <c r="H11">
        <v>247</v>
      </c>
      <c r="J11">
        <v>71</v>
      </c>
      <c r="L11">
        <v>23</v>
      </c>
      <c r="M11">
        <v>19</v>
      </c>
      <c r="O11">
        <v>4</v>
      </c>
    </row>
    <row r="12" spans="1:21" ht="24.95" customHeight="1">
      <c r="A12" t="s">
        <v>19</v>
      </c>
      <c r="B12">
        <f t="shared" si="1"/>
        <v>191.46</v>
      </c>
      <c r="C12">
        <f t="shared" si="2"/>
        <v>155</v>
      </c>
      <c r="D12">
        <f t="shared" si="3"/>
        <v>0</v>
      </c>
      <c r="E12">
        <f t="shared" si="4"/>
        <v>36</v>
      </c>
      <c r="F12">
        <f t="shared" si="5"/>
        <v>0</v>
      </c>
      <c r="G12">
        <v>144.46</v>
      </c>
      <c r="H12">
        <v>112</v>
      </c>
      <c r="J12">
        <v>32</v>
      </c>
      <c r="L12">
        <v>29</v>
      </c>
      <c r="M12">
        <v>25</v>
      </c>
      <c r="O12">
        <v>4</v>
      </c>
      <c r="Q12">
        <v>18</v>
      </c>
      <c r="R12">
        <v>18</v>
      </c>
    </row>
  </sheetData>
  <mergeCells count="6">
    <mergeCell ref="A2:O2"/>
    <mergeCell ref="B3:F3"/>
    <mergeCell ref="G3:K3"/>
    <mergeCell ref="L3:P3"/>
    <mergeCell ref="Q3:U3"/>
    <mergeCell ref="A3:A4"/>
  </mergeCells>
  <phoneticPr fontId="22" type="noConversion"/>
  <pageMargins left="0.45" right="0.4" top="0.74803149606299202" bottom="0.74803149606299202" header="0.31496062992126" footer="0.31496062992126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S12"/>
  <sheetViews>
    <sheetView topLeftCell="B1" workbookViewId="0">
      <selection activeCell="R7" sqref="P7 R7"/>
    </sheetView>
  </sheetViews>
  <sheetFormatPr defaultColWidth="9" defaultRowHeight="24.95" customHeight="1"/>
  <cols>
    <col min="1" max="1" width="14.625" customWidth="1"/>
    <col min="2" max="2" width="6.625" style="4" customWidth="1"/>
    <col min="3" max="4" width="7.375" style="4" customWidth="1"/>
    <col min="5" max="5" width="8.625" style="4" customWidth="1"/>
    <col min="6" max="6" width="9.5" style="4" customWidth="1"/>
    <col min="7" max="9" width="6.625" style="4" customWidth="1"/>
    <col min="10" max="10" width="7.875" style="4" customWidth="1"/>
    <col min="11" max="11" width="11.625" style="4" customWidth="1"/>
    <col min="12" max="12" width="12.625" style="4" customWidth="1"/>
    <col min="13" max="13" width="12.375" style="4" customWidth="1"/>
    <col min="14" max="14" width="10.125" style="4" customWidth="1"/>
    <col min="15" max="15" width="7.625" style="4" customWidth="1"/>
    <col min="16" max="16" width="6.625" style="4" customWidth="1"/>
    <col min="17" max="17" width="9" style="4" customWidth="1"/>
    <col min="18" max="18" width="7.875" style="4" customWidth="1"/>
    <col min="19" max="19" width="9.375" style="4"/>
  </cols>
  <sheetData>
    <row r="1" spans="1:19" ht="24.95" customHeight="1">
      <c r="A1" t="s">
        <v>20</v>
      </c>
    </row>
    <row r="2" spans="1:19" ht="40.5" customHeight="1">
      <c r="A2" s="31" t="s">
        <v>21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9" ht="45" customHeight="1">
      <c r="A3" t="s">
        <v>22</v>
      </c>
      <c r="B3" s="32" t="s">
        <v>23</v>
      </c>
      <c r="C3" s="32"/>
      <c r="D3" s="32"/>
      <c r="E3" s="32"/>
      <c r="F3" s="32"/>
      <c r="G3" s="32" t="s">
        <v>24</v>
      </c>
      <c r="H3" s="32"/>
      <c r="I3" s="32"/>
      <c r="J3" s="33" t="s">
        <v>25</v>
      </c>
      <c r="K3" s="32"/>
      <c r="L3" s="32"/>
      <c r="M3" s="32"/>
      <c r="N3" s="32"/>
      <c r="O3" s="33" t="s">
        <v>26</v>
      </c>
      <c r="P3" s="32"/>
      <c r="Q3" s="32"/>
      <c r="R3" s="32" t="s">
        <v>27</v>
      </c>
      <c r="S3" s="32"/>
    </row>
    <row r="4" spans="1:19" ht="24.95" customHeight="1">
      <c r="B4" s="4" t="s">
        <v>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7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34</v>
      </c>
      <c r="P4" s="4" t="s">
        <v>8</v>
      </c>
      <c r="Q4" s="4" t="s">
        <v>9</v>
      </c>
      <c r="R4" s="4" t="s">
        <v>39</v>
      </c>
      <c r="S4" s="4" t="s">
        <v>40</v>
      </c>
    </row>
    <row r="5" spans="1:19" ht="24.95" customHeight="1">
      <c r="A5" t="s">
        <v>41</v>
      </c>
      <c r="B5" s="4">
        <f t="shared" ref="B5:B11" si="0">SUM(C5:F5)</f>
        <v>129345</v>
      </c>
      <c r="C5" s="4">
        <f t="shared" ref="C5:F5" si="1">SUM(C6:C8)</f>
        <v>90631</v>
      </c>
      <c r="D5" s="4">
        <f t="shared" si="1"/>
        <v>37818</v>
      </c>
      <c r="E5" s="4">
        <f t="shared" si="1"/>
        <v>571</v>
      </c>
      <c r="F5" s="4">
        <f t="shared" si="1"/>
        <v>325</v>
      </c>
      <c r="G5" s="4">
        <f t="shared" ref="G5:G11" si="2">SUM(H5:I5)</f>
        <v>19998</v>
      </c>
      <c r="H5" s="4">
        <f>SUM(H6:H8)</f>
        <v>3675</v>
      </c>
      <c r="I5" s="4">
        <f>SUM(I6:I8)</f>
        <v>16323</v>
      </c>
      <c r="J5" s="4">
        <f>SUM(K5:N5)</f>
        <v>10237.295</v>
      </c>
      <c r="K5" s="11">
        <f>SUM(K6:K8)</f>
        <v>6023.5469999999996</v>
      </c>
      <c r="L5" s="11">
        <f>SUM(L6:L8)</f>
        <v>2106.8739999999998</v>
      </c>
      <c r="M5" s="11">
        <f>SUM(M6:M8)</f>
        <v>923.61519999999996</v>
      </c>
      <c r="N5" s="11">
        <f>SUM(N6:N8)</f>
        <v>1183.2588000000001</v>
      </c>
      <c r="O5" s="4">
        <f t="shared" ref="O5:O7" si="3">SUM(P5:Q5)</f>
        <v>7883</v>
      </c>
      <c r="P5" s="4">
        <f>SUM(P6:P8)</f>
        <v>5865</v>
      </c>
      <c r="Q5" s="4">
        <f>SUM(Q6:Q8)</f>
        <v>2018</v>
      </c>
      <c r="R5" s="30">
        <f>SUM(R6:R8)</f>
        <v>241.00299999999999</v>
      </c>
      <c r="S5" s="30">
        <f>SUM(S6:S8)</f>
        <v>241.00299999999999</v>
      </c>
    </row>
    <row r="6" spans="1:19" ht="24.95" customHeight="1">
      <c r="A6" t="s">
        <v>13</v>
      </c>
      <c r="B6" s="4">
        <f t="shared" si="0"/>
        <v>33395</v>
      </c>
      <c r="C6" s="27">
        <f>22457+747+238</f>
        <v>23442</v>
      </c>
      <c r="D6" s="27">
        <v>9707</v>
      </c>
      <c r="E6" s="27">
        <v>149</v>
      </c>
      <c r="F6" s="27">
        <v>97</v>
      </c>
      <c r="G6" s="28">
        <f t="shared" si="2"/>
        <v>6427</v>
      </c>
      <c r="H6" s="28">
        <v>330</v>
      </c>
      <c r="I6" s="28">
        <v>6097</v>
      </c>
      <c r="J6" s="27">
        <f t="shared" ref="J6:J11" si="4">SUM(K6:N6)</f>
        <v>2689.2350000000001</v>
      </c>
      <c r="K6" s="11">
        <f>0.065*0.6*C6+0.085*0.6*D6+0.6*0.6*E6+0.6*0.6*F6+0.02*0.6*G6</f>
        <v>1574.979</v>
      </c>
      <c r="L6" s="11">
        <f>0.065*0.2*C6+0.085*0.2*D6+0.6*0.2*E6+0.6*0.2*F6+0.02*0.2*G6+0.01*0.5*G6</f>
        <v>557.12800000000004</v>
      </c>
      <c r="M6" s="11">
        <f>0.065*0.08*C6+0.085*0.08*D6+0.6*0.08*E6+0.6*0.08*F6+0.02*0.08*G6+0.01*0.2*G6</f>
        <v>222.85120000000001</v>
      </c>
      <c r="N6" s="11">
        <f>0.065*0.12*C6+0.085*0.12*D6+0.6*0.12*E6+0.6*0.12*F6+0.02*0.12*G6+0.01*0.3*G6</f>
        <v>334.27679999999998</v>
      </c>
      <c r="O6" s="4">
        <f t="shared" si="3"/>
        <v>2086</v>
      </c>
      <c r="P6" s="4">
        <v>1547</v>
      </c>
      <c r="Q6" s="4">
        <v>539</v>
      </c>
      <c r="R6" s="4">
        <v>27</v>
      </c>
      <c r="S6" s="30">
        <f t="shared" ref="S6:S11" si="5">SUM(R6:R6)</f>
        <v>27</v>
      </c>
    </row>
    <row r="7" spans="1:19" ht="24.95" customHeight="1">
      <c r="A7" t="s">
        <v>14</v>
      </c>
      <c r="B7" s="4">
        <f t="shared" si="0"/>
        <v>89555</v>
      </c>
      <c r="C7" s="27">
        <f>63610+861+779</f>
        <v>65250</v>
      </c>
      <c r="D7" s="27">
        <v>23863</v>
      </c>
      <c r="E7" s="27">
        <v>262</v>
      </c>
      <c r="F7" s="27">
        <v>180</v>
      </c>
      <c r="G7" s="27">
        <f t="shared" si="2"/>
        <v>12001</v>
      </c>
      <c r="H7" s="27">
        <f>2894-145</f>
        <v>2749</v>
      </c>
      <c r="I7" s="27">
        <f>9300-48</f>
        <v>9252</v>
      </c>
      <c r="J7" s="27">
        <f>6900.62</f>
        <v>6900.62</v>
      </c>
      <c r="K7" s="11">
        <f>0.065*0.6*C7+0.085*0.6*D7+0.6*0.6*E7+0.6*0.6*F7+0.02*0.6*G7</f>
        <v>4064.895</v>
      </c>
      <c r="L7" s="11">
        <f>0.065*0.2*C7+0.085*0.2*D7+0.6*0.2*E7+0.6*0.2*F7+0.02*0.2*G7+0.01*0.5*G7</f>
        <v>1414.97</v>
      </c>
      <c r="M7" s="11">
        <f>0.065*0.08*C7+0.085*0.08*D7+0.6*0.08*E7+0.6*0.08*F7+0.02*0.08*G7+0.01*0.2*G7</f>
        <v>565.98800000000006</v>
      </c>
      <c r="N7" s="11">
        <f>0.065*0.12*C7+0.085*0.12*D7+0.6*0.12*E7+0.6*0.12*F7+0.02*0.12*G7+0.01*0.3*G7</f>
        <v>848.98199999999997</v>
      </c>
      <c r="O7" s="4">
        <f t="shared" si="3"/>
        <v>5797</v>
      </c>
      <c r="P7" s="4">
        <v>4318</v>
      </c>
      <c r="Q7" s="4">
        <v>1479</v>
      </c>
      <c r="R7" s="4">
        <v>-169.67</v>
      </c>
      <c r="S7" s="11">
        <f t="shared" si="5"/>
        <v>-169.67</v>
      </c>
    </row>
    <row r="8" spans="1:19" ht="24.95" customHeight="1">
      <c r="A8" t="s">
        <v>16</v>
      </c>
      <c r="B8" s="4">
        <f t="shared" si="0"/>
        <v>6395</v>
      </c>
      <c r="C8" s="27">
        <f t="shared" ref="C8:D8" si="6">SUM(C9:C11)</f>
        <v>1939</v>
      </c>
      <c r="D8" s="27">
        <f t="shared" si="6"/>
        <v>4248</v>
      </c>
      <c r="E8" s="27">
        <f>E11</f>
        <v>160</v>
      </c>
      <c r="F8" s="27">
        <f>F11</f>
        <v>48</v>
      </c>
      <c r="G8" s="27">
        <f t="shared" si="2"/>
        <v>1570</v>
      </c>
      <c r="H8" s="27">
        <f t="shared" ref="H8:M8" si="7">SUM(H9:H11)</f>
        <v>596</v>
      </c>
      <c r="I8" s="27">
        <f t="shared" si="7"/>
        <v>974</v>
      </c>
      <c r="J8" s="29">
        <f t="shared" si="4"/>
        <v>653.22500000000002</v>
      </c>
      <c r="K8" s="11">
        <f t="shared" si="7"/>
        <v>383.673</v>
      </c>
      <c r="L8" s="11">
        <f t="shared" si="7"/>
        <v>134.77600000000001</v>
      </c>
      <c r="M8" s="11">
        <f t="shared" si="7"/>
        <v>134.77600000000001</v>
      </c>
      <c r="N8" s="11"/>
      <c r="R8" s="11">
        <v>383.673</v>
      </c>
      <c r="S8" s="11">
        <f t="shared" si="5"/>
        <v>383.673</v>
      </c>
    </row>
    <row r="9" spans="1:19" ht="24.95" customHeight="1">
      <c r="A9" t="s">
        <v>17</v>
      </c>
      <c r="B9" s="4">
        <f t="shared" si="0"/>
        <v>2900</v>
      </c>
      <c r="C9" s="27">
        <v>1939</v>
      </c>
      <c r="D9" s="27">
        <v>961</v>
      </c>
      <c r="E9" s="27"/>
      <c r="F9" s="27"/>
      <c r="G9" s="27">
        <f t="shared" si="2"/>
        <v>795</v>
      </c>
      <c r="H9" s="27">
        <v>451</v>
      </c>
      <c r="I9" s="27">
        <v>344</v>
      </c>
      <c r="J9" s="29">
        <f t="shared" si="4"/>
        <v>231.57</v>
      </c>
      <c r="K9" s="11">
        <f>0.065*0.6*C9+0.085*0.6*D9+0.02*0.6*G9</f>
        <v>134.172</v>
      </c>
      <c r="L9" s="11">
        <f>0.065*0.2*C9+0.085*0.2*D9+0.02*0.2*G9+0.01*0.5*G9</f>
        <v>48.698999999999998</v>
      </c>
      <c r="M9" s="11">
        <f>0.065*0.2*C9+0.085*0.2*D9+0.02*0.2*G9+0.01*0.5*G9</f>
        <v>48.698999999999998</v>
      </c>
      <c r="N9" s="11"/>
      <c r="R9" s="11">
        <v>134.172</v>
      </c>
      <c r="S9" s="11">
        <f t="shared" si="5"/>
        <v>134.172</v>
      </c>
    </row>
    <row r="10" spans="1:19" ht="24.95" customHeight="1">
      <c r="A10" t="s">
        <v>18</v>
      </c>
      <c r="B10" s="4">
        <f t="shared" si="0"/>
        <v>3287</v>
      </c>
      <c r="C10" s="27"/>
      <c r="D10" s="27">
        <v>3287</v>
      </c>
      <c r="E10" s="27"/>
      <c r="F10" s="27"/>
      <c r="G10" s="27">
        <f t="shared" si="2"/>
        <v>582</v>
      </c>
      <c r="H10" s="27"/>
      <c r="I10" s="27">
        <v>582</v>
      </c>
      <c r="J10" s="29">
        <f t="shared" si="4"/>
        <v>296.85500000000002</v>
      </c>
      <c r="K10" s="11">
        <f>0.085*0.6*D10+0.02*0.6*G10</f>
        <v>174.62100000000001</v>
      </c>
      <c r="L10" s="11">
        <f>0.085*0.2*D10+0.02*0.2*G10+0.01*0.5*G10</f>
        <v>61.116999999999997</v>
      </c>
      <c r="M10" s="11">
        <f>0.085*0.2*D10+0.02*0.2*G10+0.01*0.5*G10</f>
        <v>61.116999999999997</v>
      </c>
      <c r="N10" s="11"/>
      <c r="R10" s="11">
        <v>174.62100000000001</v>
      </c>
      <c r="S10" s="11">
        <f t="shared" si="5"/>
        <v>174.62100000000001</v>
      </c>
    </row>
    <row r="11" spans="1:19" ht="24.95" customHeight="1">
      <c r="A11" t="s">
        <v>19</v>
      </c>
      <c r="B11" s="4">
        <f t="shared" si="0"/>
        <v>208</v>
      </c>
      <c r="C11" s="27"/>
      <c r="D11" s="27"/>
      <c r="E11" s="27">
        <v>160</v>
      </c>
      <c r="F11" s="27">
        <v>48</v>
      </c>
      <c r="G11" s="27">
        <f t="shared" si="2"/>
        <v>193</v>
      </c>
      <c r="H11" s="27">
        <v>145</v>
      </c>
      <c r="I11" s="27">
        <v>48</v>
      </c>
      <c r="J11" s="29">
        <f t="shared" si="4"/>
        <v>124.8</v>
      </c>
      <c r="K11" s="11">
        <f>0.6*0.6*B11</f>
        <v>74.88</v>
      </c>
      <c r="L11" s="11">
        <f>0.6*0.2*B11</f>
        <v>24.96</v>
      </c>
      <c r="M11" s="11">
        <f>0.6*0.2*B11</f>
        <v>24.96</v>
      </c>
      <c r="N11" s="11"/>
      <c r="R11" s="11">
        <v>74.88</v>
      </c>
      <c r="S11" s="11">
        <f t="shared" si="5"/>
        <v>74.88</v>
      </c>
    </row>
    <row r="12" spans="1:19" ht="48" customHeight="1">
      <c r="A12" s="31" t="s">
        <v>42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</row>
  </sheetData>
  <mergeCells count="7">
    <mergeCell ref="R3:S3"/>
    <mergeCell ref="A12:S12"/>
    <mergeCell ref="A2:Q2"/>
    <mergeCell ref="B3:F3"/>
    <mergeCell ref="G3:I3"/>
    <mergeCell ref="J3:N3"/>
    <mergeCell ref="O3:Q3"/>
  </mergeCells>
  <phoneticPr fontId="22" type="noConversion"/>
  <pageMargins left="0.75" right="0.75" top="1" bottom="1" header="0.5" footer="0.5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2"/>
  <sheetViews>
    <sheetView workbookViewId="0">
      <selection activeCell="J9" sqref="J9"/>
    </sheetView>
  </sheetViews>
  <sheetFormatPr defaultColWidth="9" defaultRowHeight="13.5"/>
  <cols>
    <col min="1" max="1" width="17.75" style="4" customWidth="1"/>
    <col min="2" max="2" width="10" customWidth="1"/>
    <col min="3" max="3" width="9.25" customWidth="1"/>
    <col min="4" max="4" width="9.75" customWidth="1"/>
    <col min="5" max="5" width="8.125" customWidth="1"/>
    <col min="6" max="6" width="9.125" customWidth="1"/>
    <col min="7" max="8" width="10.125" customWidth="1"/>
    <col min="9" max="9" width="10" customWidth="1"/>
    <col min="10" max="10" width="10.25" customWidth="1"/>
  </cols>
  <sheetData>
    <row r="1" spans="1:14" ht="22.5" customHeight="1">
      <c r="A1" s="37" t="s">
        <v>43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45" customHeight="1">
      <c r="A2" s="38" t="s">
        <v>44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26"/>
    </row>
    <row r="3" spans="1:14" ht="45.75" customHeight="1">
      <c r="A3" s="39" t="s">
        <v>2</v>
      </c>
      <c r="B3" s="53" t="s">
        <v>45</v>
      </c>
      <c r="C3" s="53"/>
      <c r="D3" s="53"/>
      <c r="E3" s="53"/>
      <c r="F3" s="53"/>
      <c r="G3" s="43" t="s">
        <v>70</v>
      </c>
      <c r="H3" s="43"/>
      <c r="I3" s="43"/>
      <c r="J3" s="43"/>
      <c r="K3" s="43" t="s">
        <v>47</v>
      </c>
      <c r="L3" s="43"/>
      <c r="M3" s="43"/>
      <c r="N3" s="43"/>
    </row>
    <row r="4" spans="1:14" ht="36" customHeight="1">
      <c r="A4" s="39"/>
      <c r="B4" s="40" t="s">
        <v>7</v>
      </c>
      <c r="C4" s="40" t="s">
        <v>8</v>
      </c>
      <c r="D4" s="40" t="s">
        <v>9</v>
      </c>
      <c r="E4" s="41" t="s">
        <v>10</v>
      </c>
      <c r="F4" s="42" t="s">
        <v>11</v>
      </c>
      <c r="G4" s="41" t="s">
        <v>7</v>
      </c>
      <c r="H4" s="41" t="s">
        <v>8</v>
      </c>
      <c r="I4" s="41" t="s">
        <v>9</v>
      </c>
      <c r="J4" s="41" t="s">
        <v>10</v>
      </c>
      <c r="K4" s="41" t="s">
        <v>7</v>
      </c>
      <c r="L4" s="41" t="s">
        <v>8</v>
      </c>
      <c r="M4" s="41" t="s">
        <v>9</v>
      </c>
      <c r="N4" s="41" t="s">
        <v>10</v>
      </c>
    </row>
    <row r="5" spans="1:14" ht="40.5" customHeight="1">
      <c r="A5" s="54" t="s">
        <v>71</v>
      </c>
      <c r="B5" s="44">
        <v>14708</v>
      </c>
      <c r="C5" s="44">
        <v>8571</v>
      </c>
      <c r="D5" s="44">
        <v>3088</v>
      </c>
      <c r="E5" s="44">
        <v>1151.5897500000001</v>
      </c>
      <c r="F5" s="44">
        <v>1897.0039999999999</v>
      </c>
      <c r="G5" s="45">
        <f t="shared" ref="G5:G12" si="0">SUM(H5:J5)</f>
        <v>12560.36</v>
      </c>
      <c r="H5" s="46">
        <f t="shared" ref="H5:N5" si="1">SUM(H6:H9)</f>
        <v>8571</v>
      </c>
      <c r="I5" s="46">
        <f t="shared" si="1"/>
        <v>2963</v>
      </c>
      <c r="J5" s="45">
        <f t="shared" si="1"/>
        <v>1026.3599999999999</v>
      </c>
      <c r="K5" s="45">
        <f t="shared" si="1"/>
        <v>250.63900000000001</v>
      </c>
      <c r="L5" s="47">
        <f t="shared" si="1"/>
        <v>0</v>
      </c>
      <c r="M5" s="45">
        <f t="shared" si="1"/>
        <v>125</v>
      </c>
      <c r="N5" s="45">
        <f t="shared" si="1"/>
        <v>125.639</v>
      </c>
    </row>
    <row r="6" spans="1:14" ht="33.950000000000003" customHeight="1">
      <c r="A6" s="51" t="s">
        <v>13</v>
      </c>
      <c r="B6" s="44">
        <v>3617</v>
      </c>
      <c r="C6" s="44">
        <v>2026</v>
      </c>
      <c r="D6" s="44">
        <v>791</v>
      </c>
      <c r="E6" s="44">
        <v>312</v>
      </c>
      <c r="F6" s="44">
        <v>488</v>
      </c>
      <c r="G6" s="45">
        <f t="shared" si="0"/>
        <v>3055.16</v>
      </c>
      <c r="H6" s="46">
        <f>'[1]2021公用经费'!T6+[1]生活补助!U7+[1]校舍!Q7</f>
        <v>2026</v>
      </c>
      <c r="I6" s="46">
        <f>'[1]2021公用经费'!U6+[1]生活补助!AA7+[1]校舍!R7</f>
        <v>773</v>
      </c>
      <c r="J6" s="45">
        <f>'[1]2021公用经费'!V6+[1]生活补助!AB7+[1]校舍!S7</f>
        <v>256.16000000000003</v>
      </c>
      <c r="K6" s="45">
        <f t="shared" ref="K6:K12" si="2">SUM(L6:N6)</f>
        <v>73.84</v>
      </c>
      <c r="L6" s="47">
        <f t="shared" ref="L6:L12" si="3">C6-H6</f>
        <v>0</v>
      </c>
      <c r="M6" s="45">
        <f t="shared" ref="M6:M12" si="4">D6-I6</f>
        <v>18</v>
      </c>
      <c r="N6" s="45">
        <f t="shared" ref="N6:N12" si="5">E6-J6</f>
        <v>55.84</v>
      </c>
    </row>
    <row r="7" spans="1:14" ht="33.950000000000003" customHeight="1">
      <c r="A7" s="51" t="s">
        <v>14</v>
      </c>
      <c r="B7" s="48">
        <v>9611.7780000000002</v>
      </c>
      <c r="C7" s="48">
        <v>5550.33</v>
      </c>
      <c r="D7" s="48">
        <v>2018.2239999999999</v>
      </c>
      <c r="E7" s="48">
        <v>688.22</v>
      </c>
      <c r="F7" s="48">
        <v>1355.0039999999999</v>
      </c>
      <c r="G7" s="45">
        <f t="shared" si="0"/>
        <v>8238.27</v>
      </c>
      <c r="H7" s="45">
        <v>5584.33</v>
      </c>
      <c r="I7" s="45">
        <f>'[1]2021公用经费'!U7+[1]生活补助!AA8+[1]校舍!R8</f>
        <v>2060</v>
      </c>
      <c r="J7" s="45">
        <f>'[1]2021公用经费'!V7+[1]生活补助!AB8+[1]校舍!S8</f>
        <v>593.94000000000005</v>
      </c>
      <c r="K7" s="45">
        <f t="shared" si="2"/>
        <v>18.503999999999898</v>
      </c>
      <c r="L7" s="49">
        <f t="shared" si="3"/>
        <v>-34</v>
      </c>
      <c r="M7" s="49">
        <f t="shared" si="4"/>
        <v>-41.776000000000103</v>
      </c>
      <c r="N7" s="45">
        <f t="shared" si="5"/>
        <v>94.28</v>
      </c>
    </row>
    <row r="8" spans="1:14" ht="33.950000000000003" customHeight="1">
      <c r="A8" s="51" t="s">
        <v>15</v>
      </c>
      <c r="B8" s="44">
        <v>758</v>
      </c>
      <c r="C8" s="44">
        <v>577</v>
      </c>
      <c r="D8" s="44">
        <v>127</v>
      </c>
      <c r="E8" s="44">
        <v>0</v>
      </c>
      <c r="F8" s="44">
        <v>54</v>
      </c>
      <c r="G8" s="46">
        <f t="shared" si="0"/>
        <v>707</v>
      </c>
      <c r="H8" s="46">
        <f>'[1]2021公用经费'!T8+[1]生活补助!U9+[1]校舍!Q9</f>
        <v>577</v>
      </c>
      <c r="I8" s="46">
        <f>'[1]2021公用经费'!U8+[1]生活补助!AA9+[1]校舍!R9</f>
        <v>130</v>
      </c>
      <c r="J8" s="45"/>
      <c r="K8" s="49">
        <v>-3</v>
      </c>
      <c r="L8" s="47">
        <f t="shared" si="3"/>
        <v>0</v>
      </c>
      <c r="M8" s="49">
        <f t="shared" si="4"/>
        <v>-3</v>
      </c>
      <c r="N8" s="45">
        <f t="shared" si="5"/>
        <v>0</v>
      </c>
    </row>
    <row r="9" spans="1:14" ht="33.950000000000003" customHeight="1">
      <c r="A9" s="51" t="s">
        <v>16</v>
      </c>
      <c r="B9" s="48">
        <v>721.22500000000002</v>
      </c>
      <c r="C9" s="48">
        <v>417.67</v>
      </c>
      <c r="D9" s="48">
        <v>151.77600000000001</v>
      </c>
      <c r="E9" s="48">
        <v>151.779</v>
      </c>
      <c r="F9" s="44"/>
      <c r="G9" s="45">
        <f t="shared" si="0"/>
        <v>559.92999999999995</v>
      </c>
      <c r="H9" s="45">
        <v>383.67</v>
      </c>
      <c r="I9" s="46"/>
      <c r="J9" s="45">
        <f>'[1]2021公用经费'!V9+[1]生活补助!AB10+[1]校舍!S10</f>
        <v>176.26</v>
      </c>
      <c r="K9" s="45">
        <f t="shared" si="2"/>
        <v>161.29499999999999</v>
      </c>
      <c r="L9" s="47">
        <f t="shared" si="3"/>
        <v>34</v>
      </c>
      <c r="M9" s="45">
        <f t="shared" si="4"/>
        <v>151.77600000000001</v>
      </c>
      <c r="N9" s="50">
        <f t="shared" si="5"/>
        <v>-24.481000000000002</v>
      </c>
    </row>
    <row r="10" spans="1:14" ht="33.950000000000003" customHeight="1">
      <c r="A10" s="52" t="s">
        <v>17</v>
      </c>
      <c r="B10" s="48">
        <v>239.57</v>
      </c>
      <c r="C10" s="48">
        <v>138.172</v>
      </c>
      <c r="D10" s="48">
        <v>50.698999999999998</v>
      </c>
      <c r="E10" s="48">
        <v>50.698999999999998</v>
      </c>
      <c r="F10" s="44"/>
      <c r="G10" s="45">
        <f t="shared" si="0"/>
        <v>158.25</v>
      </c>
      <c r="H10" s="45">
        <v>134.16999999999999</v>
      </c>
      <c r="I10" s="46"/>
      <c r="J10" s="45">
        <v>24.08</v>
      </c>
      <c r="K10" s="45">
        <f t="shared" si="2"/>
        <v>81.319999999999993</v>
      </c>
      <c r="L10" s="47">
        <f t="shared" si="3"/>
        <v>4.0020000000000104</v>
      </c>
      <c r="M10" s="45">
        <f t="shared" si="4"/>
        <v>50.698999999999998</v>
      </c>
      <c r="N10" s="45">
        <f t="shared" si="5"/>
        <v>26.619</v>
      </c>
    </row>
    <row r="11" spans="1:14" ht="33.950000000000003" customHeight="1">
      <c r="A11" s="52" t="s">
        <v>18</v>
      </c>
      <c r="B11" s="48">
        <v>324.858</v>
      </c>
      <c r="C11" s="48">
        <v>188.62100000000001</v>
      </c>
      <c r="D11" s="48">
        <v>68.117000000000004</v>
      </c>
      <c r="E11" s="48">
        <v>68.12</v>
      </c>
      <c r="F11" s="44"/>
      <c r="G11" s="45">
        <f t="shared" si="0"/>
        <v>255.05</v>
      </c>
      <c r="H11" s="45">
        <v>174.62</v>
      </c>
      <c r="I11" s="46"/>
      <c r="J11" s="45">
        <f>'[1]2021公用经费'!V11+[1]生活补助!AB12+[1]校舍!S12</f>
        <v>80.430000000000007</v>
      </c>
      <c r="K11" s="45">
        <f t="shared" si="2"/>
        <v>69.808000000000007</v>
      </c>
      <c r="L11" s="47">
        <f t="shared" si="3"/>
        <v>14.000999999999999</v>
      </c>
      <c r="M11" s="45">
        <f t="shared" si="4"/>
        <v>68.117000000000004</v>
      </c>
      <c r="N11" s="50">
        <f t="shared" si="5"/>
        <v>-12.31</v>
      </c>
    </row>
    <row r="12" spans="1:14" ht="33.950000000000003" customHeight="1">
      <c r="A12" s="52" t="s">
        <v>19</v>
      </c>
      <c r="B12" s="48">
        <v>156.80000000000001</v>
      </c>
      <c r="C12" s="48">
        <v>90.88</v>
      </c>
      <c r="D12" s="48">
        <v>32.96</v>
      </c>
      <c r="E12" s="48">
        <v>32.96</v>
      </c>
      <c r="F12" s="44"/>
      <c r="G12" s="45">
        <f t="shared" si="0"/>
        <v>146.63</v>
      </c>
      <c r="H12" s="45">
        <v>74.88</v>
      </c>
      <c r="I12" s="46"/>
      <c r="J12" s="45">
        <v>71.75</v>
      </c>
      <c r="K12" s="45">
        <f t="shared" si="2"/>
        <v>10.17</v>
      </c>
      <c r="L12" s="47">
        <f t="shared" si="3"/>
        <v>16</v>
      </c>
      <c r="M12" s="45">
        <f t="shared" si="4"/>
        <v>32.96</v>
      </c>
      <c r="N12" s="50">
        <f t="shared" si="5"/>
        <v>-38.79</v>
      </c>
    </row>
  </sheetData>
  <mergeCells count="6">
    <mergeCell ref="A1:N1"/>
    <mergeCell ref="A2:M2"/>
    <mergeCell ref="B3:F3"/>
    <mergeCell ref="G3:J3"/>
    <mergeCell ref="K3:N3"/>
    <mergeCell ref="A3:A4"/>
  </mergeCells>
  <phoneticPr fontId="16" type="noConversion"/>
  <printOptions horizontalCentered="1"/>
  <pageMargins left="0.59055118110236227" right="0.47244094488188981" top="0.78740157480314965" bottom="0.70866141732283472" header="0.51181102362204722" footer="0.51181102362204722"/>
  <pageSetup paperSize="9" scale="98" orientation="landscape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U14"/>
  <sheetViews>
    <sheetView workbookViewId="0">
      <selection activeCell="K8" sqref="K8"/>
    </sheetView>
  </sheetViews>
  <sheetFormatPr defaultColWidth="9" defaultRowHeight="13.5"/>
  <cols>
    <col min="1" max="1" width="17.25" customWidth="1"/>
  </cols>
  <sheetData>
    <row r="1" spans="1:21" ht="35.25" customHeight="1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</row>
    <row r="2" spans="1:21" ht="39.75" customHeight="1">
      <c r="A2" s="58" t="s">
        <v>72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 ht="29.25" customHeight="1">
      <c r="A3" s="59" t="s">
        <v>73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</row>
    <row r="4" spans="1:21" ht="22.5" customHeight="1">
      <c r="A4" s="36" t="s">
        <v>2</v>
      </c>
      <c r="B4" s="61" t="s">
        <v>74</v>
      </c>
      <c r="C4" s="34"/>
      <c r="D4" s="34"/>
      <c r="E4" s="34"/>
      <c r="F4" s="34"/>
      <c r="G4" s="35" t="s">
        <v>4</v>
      </c>
      <c r="H4" s="35"/>
      <c r="I4" s="35"/>
      <c r="J4" s="35"/>
      <c r="K4" s="35"/>
      <c r="L4" s="35" t="s">
        <v>5</v>
      </c>
      <c r="M4" s="35"/>
      <c r="N4" s="35"/>
      <c r="O4" s="35"/>
      <c r="P4" s="35"/>
      <c r="Q4" s="36" t="s">
        <v>6</v>
      </c>
      <c r="R4" s="36"/>
      <c r="S4" s="36"/>
      <c r="T4" s="36"/>
      <c r="U4" s="36"/>
    </row>
    <row r="5" spans="1:21" ht="22.5" customHeight="1">
      <c r="A5" s="36"/>
      <c r="B5" s="14" t="s">
        <v>7</v>
      </c>
      <c r="C5" s="14" t="s">
        <v>8</v>
      </c>
      <c r="D5" s="14" t="s">
        <v>9</v>
      </c>
      <c r="E5" s="13" t="s">
        <v>10</v>
      </c>
      <c r="F5" s="13" t="s">
        <v>11</v>
      </c>
      <c r="G5" s="13" t="s">
        <v>7</v>
      </c>
      <c r="H5" s="13" t="s">
        <v>8</v>
      </c>
      <c r="I5" s="13" t="s">
        <v>9</v>
      </c>
      <c r="J5" s="13" t="s">
        <v>10</v>
      </c>
      <c r="K5" s="13" t="s">
        <v>11</v>
      </c>
      <c r="L5" s="13" t="s">
        <v>7</v>
      </c>
      <c r="M5" s="13" t="s">
        <v>8</v>
      </c>
      <c r="N5" s="13" t="s">
        <v>9</v>
      </c>
      <c r="O5" s="13" t="s">
        <v>10</v>
      </c>
      <c r="P5" s="13" t="s">
        <v>11</v>
      </c>
      <c r="Q5" s="13" t="s">
        <v>7</v>
      </c>
      <c r="R5" s="13" t="s">
        <v>8</v>
      </c>
      <c r="S5" s="13" t="s">
        <v>9</v>
      </c>
      <c r="T5" s="13" t="s">
        <v>10</v>
      </c>
      <c r="U5" s="13" t="s">
        <v>11</v>
      </c>
    </row>
    <row r="6" spans="1:21" ht="33.950000000000003" customHeight="1">
      <c r="A6" s="56" t="s">
        <v>12</v>
      </c>
      <c r="B6" s="15">
        <f>14708</f>
        <v>14708</v>
      </c>
      <c r="C6" s="15">
        <f t="shared" ref="C6:F6" si="0">H6+M6+R6</f>
        <v>8571</v>
      </c>
      <c r="D6" s="15">
        <f t="shared" si="0"/>
        <v>3088</v>
      </c>
      <c r="E6" s="15">
        <f t="shared" si="0"/>
        <v>1151.5897500000001</v>
      </c>
      <c r="F6" s="15">
        <f t="shared" si="0"/>
        <v>1897.0039999999999</v>
      </c>
      <c r="G6" s="16">
        <v>10881</v>
      </c>
      <c r="H6" s="16">
        <v>6553</v>
      </c>
      <c r="I6" s="16">
        <v>2169</v>
      </c>
      <c r="J6" s="16">
        <v>823.99599999999998</v>
      </c>
      <c r="K6" s="16">
        <v>1335.0039999999999</v>
      </c>
      <c r="L6" s="15">
        <v>1011.59375</v>
      </c>
      <c r="M6" s="15">
        <v>503</v>
      </c>
      <c r="N6" s="15">
        <v>261</v>
      </c>
      <c r="O6" s="15">
        <v>97.59375</v>
      </c>
      <c r="P6" s="15">
        <v>150</v>
      </c>
      <c r="Q6" s="23">
        <v>2815</v>
      </c>
      <c r="R6" s="23">
        <v>1515</v>
      </c>
      <c r="S6" s="23">
        <v>658</v>
      </c>
      <c r="T6" s="23">
        <v>230</v>
      </c>
      <c r="U6" s="23">
        <v>412</v>
      </c>
    </row>
    <row r="7" spans="1:21" ht="33.950000000000003" customHeight="1">
      <c r="A7" s="2" t="s">
        <v>13</v>
      </c>
      <c r="B7" s="15">
        <f t="shared" ref="B7:B13" si="1">SUM(C7:F7)</f>
        <v>3617</v>
      </c>
      <c r="C7" s="15">
        <f t="shared" ref="C7:C13" si="2">H7+M7+R7</f>
        <v>2026</v>
      </c>
      <c r="D7" s="15">
        <f t="shared" ref="D7:D13" si="3">I7+N7+S7</f>
        <v>791</v>
      </c>
      <c r="E7" s="15">
        <v>312</v>
      </c>
      <c r="F7" s="15">
        <f>K7+P7+U7</f>
        <v>488</v>
      </c>
      <c r="G7" s="16">
        <v>2670</v>
      </c>
      <c r="H7" s="18">
        <v>1574</v>
      </c>
      <c r="I7" s="18">
        <v>543</v>
      </c>
      <c r="J7" s="18">
        <v>213</v>
      </c>
      <c r="K7" s="16">
        <v>340</v>
      </c>
      <c r="L7" s="15">
        <v>271.60000000000002</v>
      </c>
      <c r="M7" s="15">
        <v>135</v>
      </c>
      <c r="N7" s="15">
        <v>69</v>
      </c>
      <c r="O7" s="15">
        <v>27.6</v>
      </c>
      <c r="P7" s="15">
        <v>40</v>
      </c>
      <c r="Q7" s="23">
        <v>675</v>
      </c>
      <c r="R7" s="23">
        <v>317</v>
      </c>
      <c r="S7" s="23">
        <v>179</v>
      </c>
      <c r="T7" s="23">
        <v>71</v>
      </c>
      <c r="U7" s="23">
        <v>108</v>
      </c>
    </row>
    <row r="8" spans="1:21" ht="33.950000000000003" customHeight="1">
      <c r="A8" s="2" t="s">
        <v>14</v>
      </c>
      <c r="B8" s="19">
        <f t="shared" si="1"/>
        <v>9611.7779999999984</v>
      </c>
      <c r="C8" s="19">
        <f t="shared" si="2"/>
        <v>5550.33</v>
      </c>
      <c r="D8" s="19">
        <f t="shared" si="3"/>
        <v>2018.2239999999999</v>
      </c>
      <c r="E8" s="19">
        <f>J8+O8+T8</f>
        <v>688.22</v>
      </c>
      <c r="F8" s="19">
        <f>K8+P8+U8</f>
        <v>1355.0039999999999</v>
      </c>
      <c r="G8" s="20">
        <v>6993.7780000000002</v>
      </c>
      <c r="H8" s="20">
        <v>4148.33</v>
      </c>
      <c r="I8" s="20">
        <v>1409.2239999999999</v>
      </c>
      <c r="J8" s="20">
        <v>476.22</v>
      </c>
      <c r="K8" s="20">
        <v>960.00400000000002</v>
      </c>
      <c r="L8" s="15">
        <v>636.13515625000002</v>
      </c>
      <c r="M8" s="15">
        <v>316</v>
      </c>
      <c r="N8" s="15">
        <v>161</v>
      </c>
      <c r="O8" s="15">
        <v>56</v>
      </c>
      <c r="P8" s="15">
        <v>103</v>
      </c>
      <c r="Q8" s="23">
        <v>1982</v>
      </c>
      <c r="R8" s="23">
        <v>1086</v>
      </c>
      <c r="S8" s="23">
        <v>448</v>
      </c>
      <c r="T8" s="23">
        <v>156</v>
      </c>
      <c r="U8" s="23">
        <v>292</v>
      </c>
    </row>
    <row r="9" spans="1:21" ht="33.950000000000003" customHeight="1">
      <c r="A9" s="2" t="s">
        <v>15</v>
      </c>
      <c r="B9" s="15">
        <f t="shared" si="1"/>
        <v>758</v>
      </c>
      <c r="C9" s="15">
        <f t="shared" si="2"/>
        <v>577</v>
      </c>
      <c r="D9" s="15">
        <f t="shared" si="3"/>
        <v>127</v>
      </c>
      <c r="E9" s="15">
        <f>J9+O9+T9</f>
        <v>0</v>
      </c>
      <c r="F9" s="15">
        <f>K9+P9+U9</f>
        <v>54</v>
      </c>
      <c r="G9" s="16">
        <v>564</v>
      </c>
      <c r="H9" s="18">
        <v>447</v>
      </c>
      <c r="I9" s="18">
        <v>82</v>
      </c>
      <c r="J9" s="18"/>
      <c r="K9" s="16">
        <v>35</v>
      </c>
      <c r="L9" s="15">
        <v>48</v>
      </c>
      <c r="M9" s="15">
        <v>24</v>
      </c>
      <c r="N9" s="15">
        <v>17</v>
      </c>
      <c r="O9" s="15"/>
      <c r="P9" s="15">
        <v>7</v>
      </c>
      <c r="Q9" s="23">
        <v>146</v>
      </c>
      <c r="R9" s="23">
        <v>106</v>
      </c>
      <c r="S9" s="23">
        <v>28</v>
      </c>
      <c r="T9" s="23"/>
      <c r="U9" s="23">
        <v>12</v>
      </c>
    </row>
    <row r="10" spans="1:21" ht="33.950000000000003" customHeight="1">
      <c r="A10" s="57" t="s">
        <v>16</v>
      </c>
      <c r="B10" s="19">
        <f t="shared" si="1"/>
        <v>721.22500000000002</v>
      </c>
      <c r="C10" s="19">
        <f t="shared" si="2"/>
        <v>417.67</v>
      </c>
      <c r="D10" s="19">
        <f t="shared" si="3"/>
        <v>151.77600000000001</v>
      </c>
      <c r="E10" s="19">
        <f>SUM(E11:E13)</f>
        <v>151.779</v>
      </c>
      <c r="F10" s="15"/>
      <c r="G10" s="20">
        <v>653.22199999999998</v>
      </c>
      <c r="H10" s="20">
        <v>383.67</v>
      </c>
      <c r="I10" s="20">
        <v>134.77600000000001</v>
      </c>
      <c r="J10" s="20">
        <v>134.77600000000001</v>
      </c>
      <c r="K10" s="22"/>
      <c r="L10" s="15">
        <v>55.858593749999997</v>
      </c>
      <c r="M10" s="15">
        <v>28</v>
      </c>
      <c r="N10" s="15">
        <v>14</v>
      </c>
      <c r="O10" s="15">
        <v>13.99375</v>
      </c>
      <c r="P10" s="15"/>
      <c r="Q10" s="23">
        <v>12</v>
      </c>
      <c r="R10" s="24">
        <v>6</v>
      </c>
      <c r="S10" s="24">
        <v>3</v>
      </c>
      <c r="T10" s="24">
        <v>3</v>
      </c>
      <c r="U10" s="23"/>
    </row>
    <row r="11" spans="1:21" ht="33.950000000000003" customHeight="1">
      <c r="A11" s="57" t="s">
        <v>17</v>
      </c>
      <c r="B11" s="19">
        <f t="shared" si="1"/>
        <v>239.57</v>
      </c>
      <c r="C11" s="19">
        <f t="shared" si="2"/>
        <v>138.172</v>
      </c>
      <c r="D11" s="19">
        <f t="shared" si="3"/>
        <v>50.698999999999998</v>
      </c>
      <c r="E11" s="19">
        <f>J11+O11+T11</f>
        <v>50.698999999999998</v>
      </c>
      <c r="F11" s="15"/>
      <c r="G11" s="20">
        <v>231.57</v>
      </c>
      <c r="H11" s="20">
        <v>134.172</v>
      </c>
      <c r="I11" s="20">
        <v>48.698999999999998</v>
      </c>
      <c r="J11" s="20">
        <v>48.698999999999998</v>
      </c>
      <c r="K11" s="22"/>
      <c r="L11" s="15">
        <v>8</v>
      </c>
      <c r="M11" s="15">
        <v>4</v>
      </c>
      <c r="N11" s="15">
        <v>2</v>
      </c>
      <c r="O11" s="15">
        <v>2</v>
      </c>
      <c r="P11" s="15"/>
      <c r="Q11" s="17"/>
      <c r="R11" s="17"/>
      <c r="S11" s="17"/>
      <c r="T11" s="17"/>
      <c r="U11" s="23"/>
    </row>
    <row r="12" spans="1:21" ht="33.950000000000003" customHeight="1">
      <c r="A12" s="57" t="s">
        <v>18</v>
      </c>
      <c r="B12" s="19">
        <f t="shared" si="1"/>
        <v>324.858</v>
      </c>
      <c r="C12" s="19">
        <f t="shared" si="2"/>
        <v>188.62100000000001</v>
      </c>
      <c r="D12" s="19">
        <f t="shared" si="3"/>
        <v>68.11699999999999</v>
      </c>
      <c r="E12" s="19">
        <f>68.12</f>
        <v>68.12</v>
      </c>
      <c r="F12" s="15"/>
      <c r="G12" s="20">
        <v>296.85500000000002</v>
      </c>
      <c r="H12" s="20">
        <v>174.62100000000001</v>
      </c>
      <c r="I12" s="20">
        <v>61.116999999999997</v>
      </c>
      <c r="J12" s="20">
        <v>61.116999999999997</v>
      </c>
      <c r="K12" s="22"/>
      <c r="L12" s="15">
        <v>28</v>
      </c>
      <c r="M12" s="15">
        <v>14</v>
      </c>
      <c r="N12" s="15">
        <v>7</v>
      </c>
      <c r="O12" s="15">
        <v>7</v>
      </c>
      <c r="P12" s="15"/>
      <c r="Q12" s="24"/>
      <c r="R12" s="24"/>
      <c r="S12" s="24"/>
      <c r="T12" s="25"/>
      <c r="U12" s="17"/>
    </row>
    <row r="13" spans="1:21" ht="33.950000000000003" customHeight="1">
      <c r="A13" s="57" t="s">
        <v>19</v>
      </c>
      <c r="B13" s="19">
        <f t="shared" si="1"/>
        <v>156.80000000000001</v>
      </c>
      <c r="C13" s="19">
        <f t="shared" si="2"/>
        <v>90.88</v>
      </c>
      <c r="D13" s="19">
        <f t="shared" si="3"/>
        <v>32.96</v>
      </c>
      <c r="E13" s="19">
        <f>J13+O13+T13</f>
        <v>32.96</v>
      </c>
      <c r="F13" s="15"/>
      <c r="G13" s="20">
        <v>124.8</v>
      </c>
      <c r="H13" s="20">
        <v>74.88</v>
      </c>
      <c r="I13" s="20">
        <v>24.96</v>
      </c>
      <c r="J13" s="20">
        <v>24.96</v>
      </c>
      <c r="K13" s="22"/>
      <c r="L13" s="15">
        <v>20.25</v>
      </c>
      <c r="M13" s="15">
        <v>10</v>
      </c>
      <c r="N13" s="15">
        <v>5</v>
      </c>
      <c r="O13" s="15">
        <v>5</v>
      </c>
      <c r="P13" s="15"/>
      <c r="Q13" s="23">
        <v>12</v>
      </c>
      <c r="R13" s="24">
        <v>6</v>
      </c>
      <c r="S13" s="24">
        <v>3</v>
      </c>
      <c r="T13" s="24">
        <v>3</v>
      </c>
      <c r="U13" s="17"/>
    </row>
    <row r="14" spans="1:21" ht="33.950000000000003" customHeight="1">
      <c r="C14" s="21"/>
      <c r="D14" s="21"/>
    </row>
  </sheetData>
  <mergeCells count="8">
    <mergeCell ref="A1:U1"/>
    <mergeCell ref="A3:U3"/>
    <mergeCell ref="A2:U2"/>
    <mergeCell ref="B4:F4"/>
    <mergeCell ref="G4:K4"/>
    <mergeCell ref="L4:P4"/>
    <mergeCell ref="Q4:U4"/>
    <mergeCell ref="A4:A5"/>
  </mergeCells>
  <phoneticPr fontId="22" type="noConversion"/>
  <printOptions horizontalCentered="1"/>
  <pageMargins left="0.59055118110236227" right="0.47244094488188981" top="0.78740157480314965" bottom="0.70866141732283472" header="0.51181102362204722" footer="0.51181102362204722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22"/>
  <sheetViews>
    <sheetView view="pageBreakPreview" workbookViewId="0">
      <selection activeCell="K8" sqref="K8"/>
    </sheetView>
  </sheetViews>
  <sheetFormatPr defaultColWidth="9" defaultRowHeight="24.95" customHeight="1"/>
  <cols>
    <col min="1" max="1" width="10.75" style="4" customWidth="1"/>
    <col min="2" max="2" width="7.375" style="4" customWidth="1"/>
    <col min="3" max="4" width="8.875" style="4" customWidth="1"/>
    <col min="5" max="5" width="7.375" style="4" customWidth="1"/>
    <col min="6" max="6" width="7.25" style="4" customWidth="1"/>
    <col min="7" max="7" width="6.375" style="4" customWidth="1"/>
    <col min="8" max="8" width="5.375" style="4" customWidth="1"/>
    <col min="9" max="9" width="6.375" style="4" customWidth="1"/>
    <col min="10" max="10" width="4.375" style="4" customWidth="1"/>
    <col min="11" max="11" width="6.25" style="4" customWidth="1"/>
    <col min="12" max="12" width="5.125" style="4" customWidth="1"/>
    <col min="13" max="13" width="6.25" style="4" customWidth="1"/>
    <col min="14" max="14" width="8.375" style="4" customWidth="1"/>
    <col min="15" max="18" width="9.75" style="4" customWidth="1"/>
    <col min="19" max="19" width="8.625" style="4" customWidth="1"/>
    <col min="20" max="20" width="9.125" style="4" customWidth="1"/>
    <col min="21" max="22" width="8.625" style="4" customWidth="1"/>
    <col min="23" max="23" width="8.375" style="4" customWidth="1"/>
    <col min="24" max="24" width="7.375" style="4" customWidth="1"/>
    <col min="25" max="25" width="8" style="4" customWidth="1"/>
    <col min="26" max="26" width="9.25" style="4" customWidth="1"/>
  </cols>
  <sheetData>
    <row r="1" spans="1:26" ht="30.75" customHeight="1">
      <c r="A1" s="62" t="s">
        <v>48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</row>
    <row r="2" spans="1:26" ht="40.5" customHeight="1">
      <c r="A2" s="63" t="s">
        <v>21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spans="1:26" ht="39" customHeight="1">
      <c r="A3" s="67" t="s">
        <v>22</v>
      </c>
      <c r="B3" s="68" t="s">
        <v>23</v>
      </c>
      <c r="C3" s="68"/>
      <c r="D3" s="68"/>
      <c r="E3" s="68"/>
      <c r="F3" s="68"/>
      <c r="G3" s="68" t="s">
        <v>24</v>
      </c>
      <c r="H3" s="68"/>
      <c r="I3" s="68"/>
      <c r="J3" s="68" t="s">
        <v>49</v>
      </c>
      <c r="K3" s="68"/>
      <c r="L3" s="68"/>
      <c r="M3" s="68"/>
      <c r="N3" s="69" t="s">
        <v>25</v>
      </c>
      <c r="O3" s="69"/>
      <c r="P3" s="69"/>
      <c r="Q3" s="69"/>
      <c r="R3" s="69"/>
      <c r="S3" s="69" t="s">
        <v>75</v>
      </c>
      <c r="T3" s="69"/>
      <c r="U3" s="69"/>
      <c r="V3" s="69"/>
      <c r="W3" s="70" t="s">
        <v>27</v>
      </c>
      <c r="X3" s="71"/>
      <c r="Y3" s="71"/>
      <c r="Z3" s="72"/>
    </row>
    <row r="4" spans="1:26" ht="31.5" customHeight="1">
      <c r="A4" s="73"/>
      <c r="B4" s="74" t="s">
        <v>7</v>
      </c>
      <c r="C4" s="74" t="s">
        <v>28</v>
      </c>
      <c r="D4" s="74" t="s">
        <v>29</v>
      </c>
      <c r="E4" s="74" t="s">
        <v>30</v>
      </c>
      <c r="F4" s="74" t="s">
        <v>31</v>
      </c>
      <c r="G4" s="74" t="s">
        <v>7</v>
      </c>
      <c r="H4" s="74" t="s">
        <v>32</v>
      </c>
      <c r="I4" s="74" t="s">
        <v>33</v>
      </c>
      <c r="J4" s="66" t="s">
        <v>50</v>
      </c>
      <c r="K4" s="66" t="s">
        <v>51</v>
      </c>
      <c r="L4" s="66" t="s">
        <v>52</v>
      </c>
      <c r="M4" s="66" t="s">
        <v>53</v>
      </c>
      <c r="N4" s="74" t="s">
        <v>34</v>
      </c>
      <c r="O4" s="74" t="s">
        <v>35</v>
      </c>
      <c r="P4" s="74" t="s">
        <v>36</v>
      </c>
      <c r="Q4" s="74" t="s">
        <v>37</v>
      </c>
      <c r="R4" s="74" t="s">
        <v>38</v>
      </c>
      <c r="S4" s="74" t="s">
        <v>34</v>
      </c>
      <c r="T4" s="74" t="s">
        <v>8</v>
      </c>
      <c r="U4" s="74" t="s">
        <v>9</v>
      </c>
      <c r="V4" s="74" t="s">
        <v>10</v>
      </c>
      <c r="W4" s="74" t="s">
        <v>3</v>
      </c>
      <c r="X4" s="74" t="s">
        <v>8</v>
      </c>
      <c r="Y4" s="74" t="s">
        <v>9</v>
      </c>
      <c r="Z4" s="74" t="s">
        <v>10</v>
      </c>
    </row>
    <row r="5" spans="1:26" ht="37.5" customHeight="1">
      <c r="A5" s="65" t="s">
        <v>12</v>
      </c>
      <c r="B5" s="1">
        <f t="shared" ref="B5:B12" si="0">SUM(C5:F5)</f>
        <v>132765</v>
      </c>
      <c r="C5" s="1">
        <f>SUM(C6:C9)</f>
        <v>92234</v>
      </c>
      <c r="D5" s="1">
        <f>SUM(D6:D9)</f>
        <v>39364</v>
      </c>
      <c r="E5" s="1">
        <f>SUM(E6:E9)</f>
        <v>779</v>
      </c>
      <c r="F5" s="1">
        <f>SUM(F6:F9)</f>
        <v>388</v>
      </c>
      <c r="G5" s="1">
        <f>SUM(H5:I5)</f>
        <v>20969</v>
      </c>
      <c r="H5" s="1">
        <f>SUM(H6:H9)</f>
        <v>3820</v>
      </c>
      <c r="I5" s="1">
        <f>SUM(I6:I9)</f>
        <v>17149</v>
      </c>
      <c r="J5" s="1">
        <f>SUM(J6:J8)</f>
        <v>59</v>
      </c>
      <c r="K5" s="1">
        <f>SUM(K6:K8)</f>
        <v>2704</v>
      </c>
      <c r="L5" s="1">
        <f>SUM(L6:L8)</f>
        <v>1</v>
      </c>
      <c r="M5" s="1">
        <f>SUM(M6:M8)</f>
        <v>52</v>
      </c>
      <c r="N5" s="6">
        <f>SUM(O5:R5)</f>
        <v>10881</v>
      </c>
      <c r="O5" s="6">
        <f>SUM(O6:O9)</f>
        <v>6553</v>
      </c>
      <c r="P5" s="6">
        <f>SUM(P6:P9)</f>
        <v>2169</v>
      </c>
      <c r="Q5" s="7">
        <f>SUM(Q6:Q9)</f>
        <v>823.99599999999998</v>
      </c>
      <c r="R5" s="6">
        <f>SUM(R6:R9)</f>
        <v>1335.0039999999999</v>
      </c>
      <c r="S5" s="8">
        <f t="shared" ref="S5:S12" si="1">SUM(T5:V5)</f>
        <v>9365.0830000000005</v>
      </c>
      <c r="T5" s="6">
        <f>SUM(T6:T9)</f>
        <v>6553.0029999999997</v>
      </c>
      <c r="U5" s="1">
        <f t="shared" ref="U5:Z5" si="2">SUM(U6:U9)</f>
        <v>2103</v>
      </c>
      <c r="V5" s="1">
        <f t="shared" si="2"/>
        <v>709.08</v>
      </c>
      <c r="W5" s="10">
        <f>SUM(X5:Z5)</f>
        <v>180.916</v>
      </c>
      <c r="X5" s="6"/>
      <c r="Y5" s="6">
        <f t="shared" si="2"/>
        <v>65.999999999999901</v>
      </c>
      <c r="Z5" s="12">
        <f t="shared" si="2"/>
        <v>114.916</v>
      </c>
    </row>
    <row r="6" spans="1:26" ht="37.5" customHeight="1">
      <c r="A6" s="65" t="s">
        <v>13</v>
      </c>
      <c r="B6" s="1">
        <f t="shared" si="0"/>
        <v>32164</v>
      </c>
      <c r="C6" s="2">
        <f>22308</f>
        <v>22308</v>
      </c>
      <c r="D6" s="2">
        <v>9610</v>
      </c>
      <c r="E6" s="5">
        <v>149</v>
      </c>
      <c r="F6" s="5">
        <v>97</v>
      </c>
      <c r="G6" s="2">
        <f>SUM(H6:I6)</f>
        <v>6427</v>
      </c>
      <c r="H6" s="2">
        <v>330</v>
      </c>
      <c r="I6" s="2">
        <v>6097</v>
      </c>
      <c r="J6" s="2">
        <v>16</v>
      </c>
      <c r="K6" s="2">
        <v>615</v>
      </c>
      <c r="L6" s="2"/>
      <c r="M6" s="2"/>
      <c r="N6" s="6">
        <f>2670</f>
        <v>2670</v>
      </c>
      <c r="O6" s="7">
        <f>1574</f>
        <v>1574</v>
      </c>
      <c r="P6" s="6">
        <f>543</f>
        <v>543</v>
      </c>
      <c r="Q6" s="7">
        <f>213</f>
        <v>213</v>
      </c>
      <c r="R6" s="6">
        <f>553-Q6</f>
        <v>340</v>
      </c>
      <c r="S6" s="1">
        <f t="shared" si="1"/>
        <v>2287.4</v>
      </c>
      <c r="T6" s="1">
        <v>1574</v>
      </c>
      <c r="U6" s="1">
        <v>539</v>
      </c>
      <c r="V6" s="1">
        <v>174.4</v>
      </c>
      <c r="W6" s="10">
        <f>SUM(X6:Z6)</f>
        <v>42.6</v>
      </c>
      <c r="X6" s="1"/>
      <c r="Y6" s="1">
        <f>P6-U6</f>
        <v>4</v>
      </c>
      <c r="Z6" s="9">
        <f>Q6-V6</f>
        <v>38.6</v>
      </c>
    </row>
    <row r="7" spans="1:26" ht="37.5" customHeight="1">
      <c r="A7" s="65" t="s">
        <v>14</v>
      </c>
      <c r="B7" s="1">
        <f t="shared" si="0"/>
        <v>87473</v>
      </c>
      <c r="C7" s="2">
        <f>65169-C9</f>
        <v>63230</v>
      </c>
      <c r="D7" s="2">
        <f>27900-D9</f>
        <v>23652</v>
      </c>
      <c r="E7" s="2">
        <f>540-160</f>
        <v>380</v>
      </c>
      <c r="F7" s="2">
        <f>259-48</f>
        <v>211</v>
      </c>
      <c r="G7" s="2">
        <f>SUM(H7:I7)</f>
        <v>12194</v>
      </c>
      <c r="H7" s="2">
        <f>3490-H9</f>
        <v>2894</v>
      </c>
      <c r="I7" s="2">
        <f>10274-I9</f>
        <v>9300</v>
      </c>
      <c r="J7" s="2">
        <v>41</v>
      </c>
      <c r="K7" s="2">
        <v>1922</v>
      </c>
      <c r="L7" s="2">
        <v>1</v>
      </c>
      <c r="M7" s="2">
        <v>52</v>
      </c>
      <c r="N7" s="8">
        <f t="shared" ref="N7:N12" si="3">SUM(O7:R7)</f>
        <v>6993.7780000000002</v>
      </c>
      <c r="O7" s="9">
        <v>4148.33</v>
      </c>
      <c r="P7" s="8">
        <f>1544-P9</f>
        <v>1409.2239999999999</v>
      </c>
      <c r="Q7" s="9">
        <f>477.22-1</f>
        <v>476.22</v>
      </c>
      <c r="R7" s="8">
        <f>1571-Q7-Q9</f>
        <v>960.00400000000002</v>
      </c>
      <c r="S7" s="1">
        <f t="shared" si="1"/>
        <v>6050.75</v>
      </c>
      <c r="T7" s="1">
        <f>4318-169.67</f>
        <v>4148.33</v>
      </c>
      <c r="U7" s="1">
        <v>1479</v>
      </c>
      <c r="V7" s="1">
        <v>423.42</v>
      </c>
      <c r="W7" s="10">
        <f>SUM(X7:Z7)</f>
        <v>-16.976000000000099</v>
      </c>
      <c r="X7" s="1"/>
      <c r="Y7" s="8">
        <f>P7-U7</f>
        <v>-69.776000000000096</v>
      </c>
      <c r="Z7" s="9">
        <f t="shared" ref="Z7:Z12" si="4">Q7-V7</f>
        <v>52.8</v>
      </c>
    </row>
    <row r="8" spans="1:26" ht="37.5" customHeight="1">
      <c r="A8" s="65" t="s">
        <v>54</v>
      </c>
      <c r="B8" s="1">
        <f t="shared" si="0"/>
        <v>6733</v>
      </c>
      <c r="C8" s="2">
        <v>4757</v>
      </c>
      <c r="D8" s="2">
        <v>1854</v>
      </c>
      <c r="E8" s="2">
        <v>90</v>
      </c>
      <c r="F8" s="2">
        <v>32</v>
      </c>
      <c r="G8" s="2">
        <v>778</v>
      </c>
      <c r="H8" s="2">
        <v>0</v>
      </c>
      <c r="I8" s="2">
        <v>778</v>
      </c>
      <c r="J8" s="2">
        <v>2</v>
      </c>
      <c r="K8" s="2">
        <v>167</v>
      </c>
      <c r="L8" s="2"/>
      <c r="M8" s="2"/>
      <c r="N8" s="6">
        <f t="shared" si="3"/>
        <v>564</v>
      </c>
      <c r="O8" s="6">
        <v>447</v>
      </c>
      <c r="P8" s="6">
        <v>82</v>
      </c>
      <c r="Q8" s="7"/>
      <c r="R8" s="6">
        <v>35</v>
      </c>
      <c r="S8" s="1">
        <f t="shared" si="1"/>
        <v>532</v>
      </c>
      <c r="T8" s="1">
        <v>447</v>
      </c>
      <c r="U8" s="1">
        <v>85</v>
      </c>
      <c r="V8" s="1"/>
      <c r="W8" s="10">
        <f t="shared" ref="W8:W12" si="5">SUM(X8:Z8)</f>
        <v>-3</v>
      </c>
      <c r="X8" s="1"/>
      <c r="Y8" s="1">
        <v>-3</v>
      </c>
      <c r="Z8" s="9">
        <f t="shared" si="4"/>
        <v>0</v>
      </c>
    </row>
    <row r="9" spans="1:26" ht="37.5" customHeight="1">
      <c r="A9" s="65" t="s">
        <v>16</v>
      </c>
      <c r="B9" s="1">
        <f t="shared" si="0"/>
        <v>6395</v>
      </c>
      <c r="C9" s="2">
        <f t="shared" ref="C9:I9" si="6">SUM(C10:C12)</f>
        <v>1939</v>
      </c>
      <c r="D9" s="2">
        <f t="shared" si="6"/>
        <v>4248</v>
      </c>
      <c r="E9" s="2">
        <f>E12</f>
        <v>160</v>
      </c>
      <c r="F9" s="2">
        <f>F12</f>
        <v>48</v>
      </c>
      <c r="G9" s="2">
        <f>SUM(H9:I9)</f>
        <v>1570</v>
      </c>
      <c r="H9" s="2">
        <f t="shared" si="6"/>
        <v>596</v>
      </c>
      <c r="I9" s="2">
        <f t="shared" si="6"/>
        <v>974</v>
      </c>
      <c r="J9" s="2"/>
      <c r="K9" s="2"/>
      <c r="L9" s="2"/>
      <c r="M9" s="2"/>
      <c r="N9" s="8">
        <f t="shared" si="3"/>
        <v>653.22199999999998</v>
      </c>
      <c r="O9" s="8">
        <f>383.67</f>
        <v>383.67</v>
      </c>
      <c r="P9" s="8">
        <f t="shared" ref="P9:Q9" si="7">SUM(P10:P12)</f>
        <v>134.77600000000001</v>
      </c>
      <c r="Q9" s="9">
        <f t="shared" si="7"/>
        <v>134.77600000000001</v>
      </c>
      <c r="R9" s="8"/>
      <c r="S9" s="8">
        <f t="shared" si="1"/>
        <v>494.93299999999999</v>
      </c>
      <c r="T9" s="8">
        <v>383.673</v>
      </c>
      <c r="U9" s="1"/>
      <c r="V9" s="1">
        <f>SUM(V10:V12)</f>
        <v>111.26</v>
      </c>
      <c r="W9" s="10">
        <f t="shared" si="5"/>
        <v>158.292</v>
      </c>
      <c r="X9" s="8"/>
      <c r="Y9" s="8">
        <v>134.77600000000001</v>
      </c>
      <c r="Z9" s="9">
        <f t="shared" si="4"/>
        <v>23.515999999999998</v>
      </c>
    </row>
    <row r="10" spans="1:26" ht="37.5" customHeight="1">
      <c r="A10" s="65" t="s">
        <v>17</v>
      </c>
      <c r="B10" s="1">
        <f t="shared" si="0"/>
        <v>2900</v>
      </c>
      <c r="C10" s="2">
        <v>1939</v>
      </c>
      <c r="D10" s="2">
        <v>961</v>
      </c>
      <c r="E10" s="2"/>
      <c r="F10" s="2"/>
      <c r="G10" s="2">
        <f>SUM(H10:I10)</f>
        <v>795</v>
      </c>
      <c r="H10" s="2">
        <v>451</v>
      </c>
      <c r="I10" s="2">
        <v>344</v>
      </c>
      <c r="J10" s="2"/>
      <c r="K10" s="2"/>
      <c r="L10" s="2"/>
      <c r="M10" s="2"/>
      <c r="N10" s="8">
        <f t="shared" si="3"/>
        <v>231.57</v>
      </c>
      <c r="O10" s="8">
        <f>0.065*0.6*C10+0.085*0.6*D10+0.02*0.6*G10</f>
        <v>134.172</v>
      </c>
      <c r="P10" s="8">
        <f>0.065*0.2*C10+0.085*0.2*D10+0.02*0.2*G10+0.01*0.5*G10</f>
        <v>48.698999999999998</v>
      </c>
      <c r="Q10" s="9">
        <f>0.065*0.2*C10+0.085*0.2*D10+0.02*0.2*G10+0.01*0.5*G10</f>
        <v>48.698999999999998</v>
      </c>
      <c r="R10" s="8"/>
      <c r="S10" s="8">
        <f t="shared" si="1"/>
        <v>156.25200000000001</v>
      </c>
      <c r="T10" s="8">
        <v>134.172</v>
      </c>
      <c r="U10" s="1"/>
      <c r="V10" s="1">
        <v>22.08</v>
      </c>
      <c r="W10" s="10">
        <f t="shared" si="5"/>
        <v>75.317999999999998</v>
      </c>
      <c r="X10" s="8"/>
      <c r="Y10" s="8">
        <v>48.698999999999998</v>
      </c>
      <c r="Z10" s="9">
        <f t="shared" si="4"/>
        <v>26.619</v>
      </c>
    </row>
    <row r="11" spans="1:26" ht="37.5" customHeight="1">
      <c r="A11" s="65" t="s">
        <v>18</v>
      </c>
      <c r="B11" s="1">
        <f t="shared" si="0"/>
        <v>3287</v>
      </c>
      <c r="C11" s="2"/>
      <c r="D11" s="2">
        <v>3287</v>
      </c>
      <c r="E11" s="2"/>
      <c r="F11" s="2"/>
      <c r="G11" s="2">
        <f>SUM(H11:I11)</f>
        <v>582</v>
      </c>
      <c r="H11" s="2"/>
      <c r="I11" s="2">
        <v>582</v>
      </c>
      <c r="J11" s="2"/>
      <c r="K11" s="2"/>
      <c r="L11" s="2"/>
      <c r="M11" s="2"/>
      <c r="N11" s="8">
        <f t="shared" si="3"/>
        <v>296.85500000000002</v>
      </c>
      <c r="O11" s="8">
        <f>0.085*0.6*D11+0.02*0.6*G11</f>
        <v>174.62100000000001</v>
      </c>
      <c r="P11" s="8">
        <f>0.085*0.2*D11+0.02*0.2*G11+0.01*0.5*G11</f>
        <v>61.116999999999997</v>
      </c>
      <c r="Q11" s="9">
        <f>0.085*0.2*D11+0.02*0.2*G11+0.01*0.5*G11</f>
        <v>61.116999999999997</v>
      </c>
      <c r="R11" s="8"/>
      <c r="S11" s="8">
        <f t="shared" si="1"/>
        <v>225.05099999999999</v>
      </c>
      <c r="T11" s="8">
        <v>174.62100000000001</v>
      </c>
      <c r="U11" s="1"/>
      <c r="V11" s="1">
        <v>50.43</v>
      </c>
      <c r="W11" s="10">
        <f t="shared" si="5"/>
        <v>71.804000000000002</v>
      </c>
      <c r="X11" s="8"/>
      <c r="Y11" s="8">
        <v>61.116999999999997</v>
      </c>
      <c r="Z11" s="8">
        <f t="shared" si="4"/>
        <v>10.686999999999999</v>
      </c>
    </row>
    <row r="12" spans="1:26" ht="37.5" customHeight="1">
      <c r="A12" s="65" t="s">
        <v>19</v>
      </c>
      <c r="B12" s="1">
        <f t="shared" si="0"/>
        <v>208</v>
      </c>
      <c r="C12" s="2"/>
      <c r="D12" s="2"/>
      <c r="E12" s="2">
        <v>160</v>
      </c>
      <c r="F12" s="2">
        <v>48</v>
      </c>
      <c r="G12" s="2">
        <f>SUM(H12:I12)</f>
        <v>193</v>
      </c>
      <c r="H12" s="2">
        <v>145</v>
      </c>
      <c r="I12" s="2">
        <v>48</v>
      </c>
      <c r="J12" s="2"/>
      <c r="K12" s="2"/>
      <c r="L12" s="2"/>
      <c r="M12" s="2"/>
      <c r="N12" s="8">
        <f t="shared" si="3"/>
        <v>124.8</v>
      </c>
      <c r="O12" s="8">
        <f>0.6*0.6*B12</f>
        <v>74.88</v>
      </c>
      <c r="P12" s="8">
        <f>0.6*0.2*B12</f>
        <v>24.96</v>
      </c>
      <c r="Q12" s="8">
        <f>0.6*0.2*B12</f>
        <v>24.96</v>
      </c>
      <c r="R12" s="8"/>
      <c r="S12" s="8">
        <f t="shared" si="1"/>
        <v>113.63</v>
      </c>
      <c r="T12" s="8">
        <v>74.88</v>
      </c>
      <c r="U12" s="1"/>
      <c r="V12" s="1">
        <v>38.75</v>
      </c>
      <c r="W12" s="10">
        <f t="shared" si="5"/>
        <v>11.17</v>
      </c>
      <c r="X12" s="8"/>
      <c r="Y12" s="8">
        <v>24.96</v>
      </c>
      <c r="Z12" s="8">
        <f t="shared" si="4"/>
        <v>-13.79</v>
      </c>
    </row>
    <row r="13" spans="1:26" ht="48" customHeight="1">
      <c r="A13" s="4" t="s">
        <v>42</v>
      </c>
      <c r="T13" s="11"/>
    </row>
    <row r="19" spans="21:21" ht="24.95" customHeight="1">
      <c r="U19" s="11"/>
    </row>
    <row r="20" spans="21:21" ht="24.95" customHeight="1">
      <c r="U20" s="11"/>
    </row>
    <row r="21" spans="21:21" ht="24.95" customHeight="1">
      <c r="U21" s="11"/>
    </row>
    <row r="22" spans="21:21" ht="24.95" customHeight="1">
      <c r="U22" s="11"/>
    </row>
  </sheetData>
  <mergeCells count="9">
    <mergeCell ref="A1:Z1"/>
    <mergeCell ref="A2:Z2"/>
    <mergeCell ref="B3:F3"/>
    <mergeCell ref="G3:I3"/>
    <mergeCell ref="J3:M3"/>
    <mergeCell ref="N3:R3"/>
    <mergeCell ref="S3:V3"/>
    <mergeCell ref="W3:Z3"/>
    <mergeCell ref="A3:A4"/>
  </mergeCells>
  <phoneticPr fontId="22" type="noConversion"/>
  <printOptions horizontalCentered="1"/>
  <pageMargins left="0.59055118110236227" right="0.47244094488188981" top="0.78740157480314965" bottom="0.70866141732283472" header="0.51181102362204722" footer="0.51181102362204722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F15"/>
  <sheetViews>
    <sheetView zoomScaleSheetLayoutView="100" workbookViewId="0">
      <selection activeCell="N8" sqref="N8"/>
    </sheetView>
  </sheetViews>
  <sheetFormatPr defaultColWidth="9" defaultRowHeight="13.5"/>
  <cols>
    <col min="1" max="1" width="12.25" style="4" customWidth="1"/>
    <col min="2" max="2" width="7.875" customWidth="1"/>
    <col min="3" max="3" width="6.75" customWidth="1"/>
    <col min="4" max="4" width="8.125" customWidth="1"/>
    <col min="5" max="6" width="7.375" customWidth="1"/>
    <col min="7" max="7" width="8.5" customWidth="1"/>
    <col min="8" max="10" width="7.125" customWidth="1"/>
    <col min="12" max="15" width="8" customWidth="1"/>
    <col min="17" max="19" width="7.5" customWidth="1"/>
    <col min="20" max="24" width="6.625" customWidth="1"/>
    <col min="25" max="32" width="6.25" customWidth="1"/>
  </cols>
  <sheetData>
    <row r="1" spans="1:32" ht="33.75" customHeight="1">
      <c r="A1" s="55" t="s">
        <v>55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</row>
    <row r="2" spans="1:32" ht="45" customHeight="1">
      <c r="A2" s="75" t="s">
        <v>56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</row>
    <row r="3" spans="1:32" ht="23.25" customHeight="1">
      <c r="A3" s="76" t="s">
        <v>22</v>
      </c>
      <c r="B3" s="77" t="s">
        <v>57</v>
      </c>
      <c r="C3" s="78"/>
      <c r="D3" s="78"/>
      <c r="E3" s="78"/>
      <c r="F3" s="78"/>
      <c r="G3" s="79" t="s">
        <v>58</v>
      </c>
      <c r="H3" s="77" t="s">
        <v>59</v>
      </c>
      <c r="I3" s="78"/>
      <c r="J3" s="78"/>
      <c r="K3" s="77" t="s">
        <v>60</v>
      </c>
      <c r="L3" s="78"/>
      <c r="M3" s="78"/>
      <c r="N3" s="78"/>
      <c r="O3" s="78"/>
      <c r="P3" s="79" t="s">
        <v>58</v>
      </c>
      <c r="Q3" s="77" t="s">
        <v>61</v>
      </c>
      <c r="R3" s="78"/>
      <c r="S3" s="78"/>
      <c r="T3" s="77" t="s">
        <v>62</v>
      </c>
      <c r="U3" s="78"/>
      <c r="V3" s="78"/>
      <c r="W3" s="78"/>
      <c r="X3" s="80"/>
      <c r="Y3" s="81" t="s">
        <v>46</v>
      </c>
      <c r="Z3" s="82"/>
      <c r="AA3" s="82"/>
      <c r="AB3" s="83"/>
      <c r="AC3" s="81" t="s">
        <v>47</v>
      </c>
      <c r="AD3" s="82"/>
      <c r="AE3" s="82"/>
      <c r="AF3" s="83"/>
    </row>
    <row r="4" spans="1:32" ht="23.25" customHeight="1">
      <c r="A4" s="76"/>
      <c r="B4" s="84"/>
      <c r="C4" s="85"/>
      <c r="D4" s="85"/>
      <c r="E4" s="85"/>
      <c r="F4" s="85"/>
      <c r="G4" s="86"/>
      <c r="H4" s="84"/>
      <c r="I4" s="85"/>
      <c r="J4" s="85"/>
      <c r="K4" s="84"/>
      <c r="L4" s="85"/>
      <c r="M4" s="85"/>
      <c r="N4" s="85"/>
      <c r="O4" s="85"/>
      <c r="P4" s="86"/>
      <c r="Q4" s="84"/>
      <c r="R4" s="85"/>
      <c r="S4" s="85"/>
      <c r="T4" s="84"/>
      <c r="U4" s="85"/>
      <c r="V4" s="85"/>
      <c r="W4" s="85"/>
      <c r="X4" s="87"/>
      <c r="Y4" s="88"/>
      <c r="Z4" s="89"/>
      <c r="AA4" s="89"/>
      <c r="AB4" s="90"/>
      <c r="AC4" s="88"/>
      <c r="AD4" s="89"/>
      <c r="AE4" s="89"/>
      <c r="AF4" s="90"/>
    </row>
    <row r="5" spans="1:32" ht="34.5" customHeight="1">
      <c r="A5" s="76"/>
      <c r="B5" s="91" t="s">
        <v>7</v>
      </c>
      <c r="C5" s="91" t="s">
        <v>32</v>
      </c>
      <c r="D5" s="91" t="s">
        <v>33</v>
      </c>
      <c r="E5" s="66" t="s">
        <v>76</v>
      </c>
      <c r="F5" s="66" t="s">
        <v>77</v>
      </c>
      <c r="G5" s="92"/>
      <c r="H5" s="91" t="s">
        <v>7</v>
      </c>
      <c r="I5" s="91" t="s">
        <v>32</v>
      </c>
      <c r="J5" s="91" t="s">
        <v>33</v>
      </c>
      <c r="K5" s="91" t="s">
        <v>7</v>
      </c>
      <c r="L5" s="91" t="s">
        <v>32</v>
      </c>
      <c r="M5" s="91" t="s">
        <v>33</v>
      </c>
      <c r="N5" s="91" t="s">
        <v>76</v>
      </c>
      <c r="O5" s="91" t="s">
        <v>77</v>
      </c>
      <c r="P5" s="92"/>
      <c r="Q5" s="91" t="s">
        <v>7</v>
      </c>
      <c r="R5" s="91" t="s">
        <v>32</v>
      </c>
      <c r="S5" s="91" t="s">
        <v>33</v>
      </c>
      <c r="T5" s="91" t="s">
        <v>34</v>
      </c>
      <c r="U5" s="91" t="s">
        <v>8</v>
      </c>
      <c r="V5" s="91" t="s">
        <v>9</v>
      </c>
      <c r="W5" s="91" t="s">
        <v>10</v>
      </c>
      <c r="X5" s="91" t="s">
        <v>11</v>
      </c>
      <c r="Y5" s="91" t="s">
        <v>34</v>
      </c>
      <c r="Z5" s="91" t="s">
        <v>8</v>
      </c>
      <c r="AA5" s="91" t="s">
        <v>9</v>
      </c>
      <c r="AB5" s="91" t="s">
        <v>10</v>
      </c>
      <c r="AC5" s="91" t="s">
        <v>34</v>
      </c>
      <c r="AD5" s="91" t="s">
        <v>8</v>
      </c>
      <c r="AE5" s="91" t="s">
        <v>9</v>
      </c>
      <c r="AF5" s="91" t="s">
        <v>10</v>
      </c>
    </row>
    <row r="6" spans="1:32" ht="33" customHeight="1">
      <c r="A6" s="93" t="s">
        <v>12</v>
      </c>
      <c r="B6" s="97">
        <f t="shared" ref="B6:B13" si="0">SUM(C6:F6)</f>
        <v>20969</v>
      </c>
      <c r="C6" s="97">
        <f t="shared" ref="C6:F6" si="1">SUM(C7:C10)</f>
        <v>3670</v>
      </c>
      <c r="D6" s="97">
        <f t="shared" si="1"/>
        <v>17055</v>
      </c>
      <c r="E6" s="97">
        <f t="shared" si="1"/>
        <v>150</v>
      </c>
      <c r="F6" s="97">
        <f t="shared" si="1"/>
        <v>94</v>
      </c>
      <c r="G6" s="99">
        <v>0.2</v>
      </c>
      <c r="H6" s="97">
        <f t="shared" ref="H6:H12" si="2">SUM(I6:J6)</f>
        <v>4145</v>
      </c>
      <c r="I6" s="97">
        <f t="shared" ref="I6:I12" si="3">C6*0.2</f>
        <v>734</v>
      </c>
      <c r="J6" s="97">
        <f t="shared" ref="J6:J12" si="4">D6*0.2</f>
        <v>3411</v>
      </c>
      <c r="K6" s="97">
        <f>SUM(K7:K10)</f>
        <v>111796</v>
      </c>
      <c r="L6" s="97">
        <f>SUM(L7:L10)</f>
        <v>88564</v>
      </c>
      <c r="M6" s="97">
        <f>SUM(M7:M10)</f>
        <v>22309</v>
      </c>
      <c r="N6" s="97">
        <f>SUM(N7:N10)</f>
        <v>629</v>
      </c>
      <c r="O6" s="97">
        <f>SUM(O7:O10)</f>
        <v>294</v>
      </c>
      <c r="P6" s="100">
        <v>7.4999999999999997E-2</v>
      </c>
      <c r="Q6" s="97">
        <f>SUM(Q7:Q10)</f>
        <v>9239</v>
      </c>
      <c r="R6" s="97">
        <f>SUM(R7:R10)</f>
        <v>7271</v>
      </c>
      <c r="S6" s="97">
        <f>SUM(S7:S10)</f>
        <v>1968</v>
      </c>
      <c r="T6" s="97">
        <f t="shared" ref="T6:T10" si="5">SUM(U6:X6)</f>
        <v>1012</v>
      </c>
      <c r="U6" s="97">
        <f t="shared" ref="U6:X6" si="6">SUM(U7:U10)</f>
        <v>503</v>
      </c>
      <c r="V6" s="97">
        <f t="shared" si="6"/>
        <v>261</v>
      </c>
      <c r="W6" s="97">
        <f t="shared" si="6"/>
        <v>98</v>
      </c>
      <c r="X6" s="97">
        <f t="shared" si="6"/>
        <v>150</v>
      </c>
      <c r="Y6" s="97">
        <f t="shared" ref="Y6:Y13" si="7">SUM(Z6:AB6)</f>
        <v>822</v>
      </c>
      <c r="Z6" s="97">
        <f t="shared" ref="Z6:AC6" si="8">SUM(Z7:Z10)</f>
        <v>503</v>
      </c>
      <c r="AA6" s="97">
        <f t="shared" si="8"/>
        <v>219</v>
      </c>
      <c r="AB6" s="97">
        <f t="shared" si="8"/>
        <v>100</v>
      </c>
      <c r="AC6" s="97">
        <f t="shared" si="8"/>
        <v>40</v>
      </c>
      <c r="AD6" s="97">
        <f t="shared" ref="AD6:AF6" si="9">U6-Z6</f>
        <v>0</v>
      </c>
      <c r="AE6" s="97">
        <f t="shared" si="9"/>
        <v>42</v>
      </c>
      <c r="AF6" s="101">
        <f t="shared" si="9"/>
        <v>-2</v>
      </c>
    </row>
    <row r="7" spans="1:32" ht="33" customHeight="1">
      <c r="A7" s="93" t="s">
        <v>13</v>
      </c>
      <c r="B7" s="97">
        <f t="shared" si="0"/>
        <v>6427</v>
      </c>
      <c r="C7" s="102">
        <v>330</v>
      </c>
      <c r="D7" s="102">
        <v>6065</v>
      </c>
      <c r="E7" s="95">
        <v>0</v>
      </c>
      <c r="F7" s="95">
        <v>32</v>
      </c>
      <c r="G7" s="99">
        <v>0.2</v>
      </c>
      <c r="H7" s="97">
        <f t="shared" si="2"/>
        <v>1311</v>
      </c>
      <c r="I7" s="97">
        <f t="shared" si="3"/>
        <v>66</v>
      </c>
      <c r="J7" s="97">
        <f>1245</f>
        <v>1245</v>
      </c>
      <c r="K7" s="97">
        <f t="shared" ref="K7:K12" si="10">SUM(L7:O7)</f>
        <v>25737</v>
      </c>
      <c r="L7" s="97">
        <f>'[1]2021公用经费'!C6-'[1]2021公用经费'!H6</f>
        <v>21978</v>
      </c>
      <c r="M7" s="97">
        <f>3545</f>
        <v>3545</v>
      </c>
      <c r="N7" s="97">
        <v>149</v>
      </c>
      <c r="O7" s="97">
        <v>65</v>
      </c>
      <c r="P7" s="100">
        <v>7.4999999999999997E-2</v>
      </c>
      <c r="Q7" s="97">
        <f t="shared" ref="Q7:Q10" si="11">SUM(R7:S7)</f>
        <v>2128</v>
      </c>
      <c r="R7" s="97">
        <f>1797</f>
        <v>1797</v>
      </c>
      <c r="S7" s="97">
        <f>331</f>
        <v>331</v>
      </c>
      <c r="T7" s="97">
        <f t="shared" si="5"/>
        <v>272</v>
      </c>
      <c r="U7" s="97">
        <v>135</v>
      </c>
      <c r="V7" s="97">
        <f>69</f>
        <v>69</v>
      </c>
      <c r="W7" s="97">
        <v>28</v>
      </c>
      <c r="X7" s="97">
        <v>40</v>
      </c>
      <c r="Y7" s="97">
        <f t="shared" si="7"/>
        <v>215</v>
      </c>
      <c r="Z7" s="97">
        <v>135</v>
      </c>
      <c r="AA7" s="97">
        <v>60</v>
      </c>
      <c r="AB7" s="97">
        <v>20</v>
      </c>
      <c r="AC7" s="97">
        <f t="shared" ref="AC7:AC13" si="12">SUM(AD7:AF7)</f>
        <v>17</v>
      </c>
      <c r="AD7" s="97">
        <f t="shared" ref="AD7:AF7" si="13">U7-Z7</f>
        <v>0</v>
      </c>
      <c r="AE7" s="97">
        <f t="shared" si="13"/>
        <v>9</v>
      </c>
      <c r="AF7" s="97">
        <f t="shared" si="13"/>
        <v>8</v>
      </c>
    </row>
    <row r="8" spans="1:32" ht="33" customHeight="1">
      <c r="A8" s="93" t="s">
        <v>14</v>
      </c>
      <c r="B8" s="97">
        <f t="shared" si="0"/>
        <v>12194</v>
      </c>
      <c r="C8" s="102">
        <f>3340-C10</f>
        <v>2889</v>
      </c>
      <c r="D8" s="102">
        <f>10212-D10</f>
        <v>9286</v>
      </c>
      <c r="E8" s="96">
        <v>5</v>
      </c>
      <c r="F8" s="96">
        <f>62-F13</f>
        <v>14</v>
      </c>
      <c r="G8" s="99">
        <v>0.2</v>
      </c>
      <c r="H8" s="97">
        <f t="shared" si="2"/>
        <v>2453.8000000000002</v>
      </c>
      <c r="I8" s="97">
        <f>818-I10</f>
        <v>582.79999999999995</v>
      </c>
      <c r="J8" s="97">
        <f>2104-J10</f>
        <v>1871</v>
      </c>
      <c r="K8" s="97">
        <f t="shared" si="10"/>
        <v>75294</v>
      </c>
      <c r="L8" s="97">
        <f>61829-L10</f>
        <v>60341</v>
      </c>
      <c r="M8" s="97">
        <f>17688-M10</f>
        <v>14366</v>
      </c>
      <c r="N8" s="97">
        <v>390</v>
      </c>
      <c r="O8" s="97">
        <v>197</v>
      </c>
      <c r="P8" s="100">
        <v>7.4999999999999997E-2</v>
      </c>
      <c r="Q8" s="97">
        <f t="shared" si="11"/>
        <v>6190.25</v>
      </c>
      <c r="R8" s="97">
        <f>5027-R10</f>
        <v>4915.3999999999996</v>
      </c>
      <c r="S8" s="97">
        <f>1524-S10</f>
        <v>1274.8499999999999</v>
      </c>
      <c r="T8" s="97">
        <f t="shared" si="5"/>
        <v>636.32773437499998</v>
      </c>
      <c r="U8" s="97">
        <f>344-U10</f>
        <v>316.13515625000002</v>
      </c>
      <c r="V8" s="97">
        <f>175-V10</f>
        <v>161.19257812500001</v>
      </c>
      <c r="W8" s="97">
        <v>56</v>
      </c>
      <c r="X8" s="97">
        <v>103</v>
      </c>
      <c r="Y8" s="97">
        <f t="shared" si="7"/>
        <v>515</v>
      </c>
      <c r="Z8" s="97">
        <v>344</v>
      </c>
      <c r="AA8" s="97">
        <v>144</v>
      </c>
      <c r="AB8" s="97">
        <v>27</v>
      </c>
      <c r="AC8" s="97">
        <f t="shared" si="12"/>
        <v>18.327734374999999</v>
      </c>
      <c r="AD8" s="101">
        <f t="shared" ref="AD8:AF8" si="14">U8-Z8</f>
        <v>-27.864843749999999</v>
      </c>
      <c r="AE8" s="97">
        <f t="shared" si="14"/>
        <v>17.192578125000001</v>
      </c>
      <c r="AF8" s="97">
        <f t="shared" si="14"/>
        <v>29</v>
      </c>
    </row>
    <row r="9" spans="1:32" ht="33" customHeight="1">
      <c r="A9" s="93" t="s">
        <v>15</v>
      </c>
      <c r="B9" s="97">
        <f t="shared" si="0"/>
        <v>778</v>
      </c>
      <c r="C9" s="103">
        <v>0</v>
      </c>
      <c r="D9" s="103">
        <v>778</v>
      </c>
      <c r="E9" s="96"/>
      <c r="F9" s="96"/>
      <c r="G9" s="99">
        <v>0.2</v>
      </c>
      <c r="H9" s="97">
        <f t="shared" si="2"/>
        <v>155.6</v>
      </c>
      <c r="I9" s="97">
        <f>(C9+E9)*0.2</f>
        <v>0</v>
      </c>
      <c r="J9" s="97">
        <f t="shared" si="4"/>
        <v>155.6</v>
      </c>
      <c r="K9" s="97">
        <f t="shared" si="10"/>
        <v>5955</v>
      </c>
      <c r="L9" s="97">
        <f>'[1]2021公用经费'!C8-'[1]2021公用经费'!H8</f>
        <v>4757</v>
      </c>
      <c r="M9" s="97">
        <f>'[1]2021公用经费'!D8-'[1]2021公用经费'!I8</f>
        <v>1076</v>
      </c>
      <c r="N9" s="97">
        <v>90</v>
      </c>
      <c r="O9" s="97">
        <v>32</v>
      </c>
      <c r="P9" s="100">
        <v>7.4999999999999997E-2</v>
      </c>
      <c r="Q9" s="97">
        <f t="shared" si="11"/>
        <v>560</v>
      </c>
      <c r="R9" s="97">
        <f>447</f>
        <v>447</v>
      </c>
      <c r="S9" s="97">
        <f>113</f>
        <v>113</v>
      </c>
      <c r="T9" s="97">
        <f t="shared" si="5"/>
        <v>48</v>
      </c>
      <c r="U9" s="97">
        <v>24</v>
      </c>
      <c r="V9" s="97">
        <v>17</v>
      </c>
      <c r="W9" s="97"/>
      <c r="X9" s="97">
        <v>7</v>
      </c>
      <c r="Y9" s="97">
        <f t="shared" si="7"/>
        <v>39</v>
      </c>
      <c r="Z9" s="97">
        <v>24</v>
      </c>
      <c r="AA9" s="97">
        <v>15</v>
      </c>
      <c r="AB9" s="97"/>
      <c r="AC9" s="97">
        <f t="shared" si="12"/>
        <v>2</v>
      </c>
      <c r="AD9" s="97">
        <f t="shared" ref="AD9:AF9" si="15">U9-Z9</f>
        <v>0</v>
      </c>
      <c r="AE9" s="97">
        <f t="shared" si="15"/>
        <v>2</v>
      </c>
      <c r="AF9" s="97">
        <f t="shared" si="15"/>
        <v>0</v>
      </c>
    </row>
    <row r="10" spans="1:32" ht="33" customHeight="1">
      <c r="A10" s="93" t="s">
        <v>16</v>
      </c>
      <c r="B10" s="97">
        <f t="shared" si="0"/>
        <v>1570</v>
      </c>
      <c r="C10" s="97">
        <f>C11</f>
        <v>451</v>
      </c>
      <c r="D10" s="97">
        <f>SUM(D11:D12)</f>
        <v>926</v>
      </c>
      <c r="E10" s="96">
        <f>E13</f>
        <v>145</v>
      </c>
      <c r="F10" s="96">
        <f>F13</f>
        <v>48</v>
      </c>
      <c r="G10" s="99">
        <v>0.2</v>
      </c>
      <c r="H10" s="97">
        <f t="shared" si="2"/>
        <v>468.2</v>
      </c>
      <c r="I10" s="97">
        <f>SUM(I11:I13)</f>
        <v>235.2</v>
      </c>
      <c r="J10" s="97">
        <v>233</v>
      </c>
      <c r="K10" s="97">
        <f t="shared" si="10"/>
        <v>4810</v>
      </c>
      <c r="L10" s="97">
        <v>1488</v>
      </c>
      <c r="M10" s="97">
        <f>SUM(M11:M12)</f>
        <v>3322</v>
      </c>
      <c r="N10" s="97"/>
      <c r="O10" s="97"/>
      <c r="P10" s="100">
        <v>7.4999999999999997E-2</v>
      </c>
      <c r="Q10" s="97">
        <f t="shared" si="11"/>
        <v>360.75</v>
      </c>
      <c r="R10" s="97">
        <f t="shared" ref="R10:W10" si="16">SUM(R11:R13)</f>
        <v>111.6</v>
      </c>
      <c r="S10" s="97">
        <f t="shared" si="16"/>
        <v>249.15</v>
      </c>
      <c r="T10" s="97">
        <f t="shared" si="5"/>
        <v>55.672265625000001</v>
      </c>
      <c r="U10" s="97">
        <f t="shared" si="16"/>
        <v>27.864843749999999</v>
      </c>
      <c r="V10" s="97">
        <f t="shared" si="16"/>
        <v>13.807421874999999</v>
      </c>
      <c r="W10" s="97">
        <f t="shared" si="16"/>
        <v>14</v>
      </c>
      <c r="X10" s="97"/>
      <c r="Y10" s="97">
        <f t="shared" si="7"/>
        <v>53</v>
      </c>
      <c r="Z10" s="104"/>
      <c r="AA10" s="105"/>
      <c r="AB10" s="97">
        <f>SUM(AB11:AB13)</f>
        <v>53</v>
      </c>
      <c r="AC10" s="97">
        <f t="shared" si="12"/>
        <v>2.6722656249999899</v>
      </c>
      <c r="AD10" s="97">
        <f t="shared" ref="AD10:AF10" si="17">U10-Z10</f>
        <v>27.864843749999999</v>
      </c>
      <c r="AE10" s="97">
        <f t="shared" si="17"/>
        <v>13.807421874999999</v>
      </c>
      <c r="AF10" s="101">
        <f t="shared" si="17"/>
        <v>-39</v>
      </c>
    </row>
    <row r="11" spans="1:32" ht="33" customHeight="1">
      <c r="A11" s="94" t="s">
        <v>17</v>
      </c>
      <c r="B11" s="97">
        <f t="shared" si="0"/>
        <v>795</v>
      </c>
      <c r="C11" s="97">
        <v>451</v>
      </c>
      <c r="D11" s="97">
        <v>344</v>
      </c>
      <c r="E11" s="96"/>
      <c r="F11" s="96"/>
      <c r="G11" s="99">
        <v>0.2</v>
      </c>
      <c r="H11" s="97">
        <f t="shared" si="2"/>
        <v>159</v>
      </c>
      <c r="I11" s="97">
        <f t="shared" si="3"/>
        <v>90.2</v>
      </c>
      <c r="J11" s="97">
        <f t="shared" si="4"/>
        <v>68.8</v>
      </c>
      <c r="K11" s="97">
        <f t="shared" si="10"/>
        <v>2105</v>
      </c>
      <c r="L11" s="97">
        <f>'[1]2021公用经费'!C10-'[1]2021公用经费'!H10</f>
        <v>1488</v>
      </c>
      <c r="M11" s="97">
        <f>'[1]2021公用经费'!D10-'[1]2021公用经费'!I10</f>
        <v>617</v>
      </c>
      <c r="N11" s="97"/>
      <c r="O11" s="97"/>
      <c r="P11" s="100">
        <v>7.4999999999999997E-2</v>
      </c>
      <c r="Q11" s="97">
        <f>K11*P11</f>
        <v>157.875</v>
      </c>
      <c r="R11" s="97">
        <f>L11*P11</f>
        <v>111.6</v>
      </c>
      <c r="S11" s="97">
        <f>M11*P11</f>
        <v>46.274999999999999</v>
      </c>
      <c r="T11" s="97">
        <f>SUM(U11:W11)</f>
        <v>8</v>
      </c>
      <c r="U11" s="97">
        <v>4</v>
      </c>
      <c r="V11" s="97">
        <v>2</v>
      </c>
      <c r="W11" s="97">
        <v>2</v>
      </c>
      <c r="X11" s="97"/>
      <c r="Y11" s="97">
        <f t="shared" si="7"/>
        <v>2</v>
      </c>
      <c r="Z11" s="97"/>
      <c r="AA11" s="96"/>
      <c r="AB11" s="97">
        <v>2</v>
      </c>
      <c r="AC11" s="97">
        <f t="shared" si="12"/>
        <v>6</v>
      </c>
      <c r="AD11" s="97">
        <f t="shared" ref="AD11:AF11" si="18">U11-Z11</f>
        <v>4</v>
      </c>
      <c r="AE11" s="97">
        <f t="shared" si="18"/>
        <v>2</v>
      </c>
      <c r="AF11" s="97">
        <f t="shared" si="18"/>
        <v>0</v>
      </c>
    </row>
    <row r="12" spans="1:32" ht="33" customHeight="1">
      <c r="A12" s="93" t="s">
        <v>18</v>
      </c>
      <c r="B12" s="97">
        <f t="shared" si="0"/>
        <v>582</v>
      </c>
      <c r="C12" s="97"/>
      <c r="D12" s="97">
        <v>582</v>
      </c>
      <c r="E12" s="96"/>
      <c r="F12" s="96"/>
      <c r="G12" s="99">
        <v>0.2</v>
      </c>
      <c r="H12" s="97">
        <f t="shared" si="2"/>
        <v>116.4</v>
      </c>
      <c r="I12" s="97">
        <f t="shared" si="3"/>
        <v>0</v>
      </c>
      <c r="J12" s="97">
        <f t="shared" si="4"/>
        <v>116.4</v>
      </c>
      <c r="K12" s="97">
        <f t="shared" si="10"/>
        <v>2705</v>
      </c>
      <c r="L12" s="97"/>
      <c r="M12" s="97">
        <f>'[1]2021公用经费'!D11-'[1]2021公用经费'!I11</f>
        <v>2705</v>
      </c>
      <c r="N12" s="97"/>
      <c r="O12" s="97"/>
      <c r="P12" s="100">
        <v>7.4999999999999997E-2</v>
      </c>
      <c r="Q12" s="97">
        <f>K12*P12</f>
        <v>202.875</v>
      </c>
      <c r="R12" s="97"/>
      <c r="S12" s="97">
        <f>M12*P12</f>
        <v>202.875</v>
      </c>
      <c r="T12" s="97">
        <v>28</v>
      </c>
      <c r="U12" s="97">
        <f>((I12*1000+R12*1000/2+J12*1250+S12*1250/2)/10000*0.5)</f>
        <v>13.61484375</v>
      </c>
      <c r="V12" s="97">
        <f>U12*0.5</f>
        <v>6.8074218750000002</v>
      </c>
      <c r="W12" s="97">
        <v>7</v>
      </c>
      <c r="X12" s="97"/>
      <c r="Y12" s="97">
        <f t="shared" si="7"/>
        <v>30</v>
      </c>
      <c r="Z12" s="97"/>
      <c r="AA12" s="105"/>
      <c r="AB12" s="97">
        <v>30</v>
      </c>
      <c r="AC12" s="101">
        <f t="shared" si="12"/>
        <v>-2.5777343749999999</v>
      </c>
      <c r="AD12" s="97">
        <f t="shared" ref="AD12:AF12" si="19">U12-Z12</f>
        <v>13.61484375</v>
      </c>
      <c r="AE12" s="97">
        <f t="shared" si="19"/>
        <v>6.8074218750000002</v>
      </c>
      <c r="AF12" s="101">
        <f t="shared" si="19"/>
        <v>-23</v>
      </c>
    </row>
    <row r="13" spans="1:32" ht="33" customHeight="1">
      <c r="A13" s="93" t="s">
        <v>19</v>
      </c>
      <c r="B13" s="97">
        <f t="shared" si="0"/>
        <v>193</v>
      </c>
      <c r="C13" s="97"/>
      <c r="D13" s="98"/>
      <c r="E13" s="96">
        <v>145</v>
      </c>
      <c r="F13" s="96">
        <v>48</v>
      </c>
      <c r="G13" s="99">
        <v>0.2</v>
      </c>
      <c r="H13" s="97">
        <v>193</v>
      </c>
      <c r="I13" s="97">
        <v>145</v>
      </c>
      <c r="J13" s="98">
        <v>48</v>
      </c>
      <c r="K13" s="97"/>
      <c r="L13" s="97"/>
      <c r="M13" s="97"/>
      <c r="N13" s="97"/>
      <c r="O13" s="97"/>
      <c r="P13" s="100">
        <v>7.4999999999999997E-2</v>
      </c>
      <c r="Q13" s="97"/>
      <c r="R13" s="97"/>
      <c r="S13" s="97"/>
      <c r="T13" s="97">
        <f>SUM(U13:W13)</f>
        <v>20.25</v>
      </c>
      <c r="U13" s="97">
        <f>((I13*1000+R13*1000/2+J13*1250+S13*1250/2)/10000*0.5)</f>
        <v>10.25</v>
      </c>
      <c r="V13" s="97">
        <v>5</v>
      </c>
      <c r="W13" s="97">
        <f>5</f>
        <v>5</v>
      </c>
      <c r="X13" s="97"/>
      <c r="Y13" s="97">
        <f t="shared" si="7"/>
        <v>21</v>
      </c>
      <c r="Z13" s="97"/>
      <c r="AA13" s="105"/>
      <c r="AB13" s="97">
        <v>21</v>
      </c>
      <c r="AC13" s="101">
        <f t="shared" si="12"/>
        <v>-0.75</v>
      </c>
      <c r="AD13" s="97">
        <f t="shared" ref="AD13:AF13" si="20">U13-Z13</f>
        <v>10.25</v>
      </c>
      <c r="AE13" s="97">
        <f t="shared" si="20"/>
        <v>5</v>
      </c>
      <c r="AF13" s="101">
        <f t="shared" si="20"/>
        <v>-16</v>
      </c>
    </row>
    <row r="14" spans="1:32">
      <c r="T14" s="3"/>
      <c r="U14" s="3"/>
      <c r="V14" s="3"/>
      <c r="W14" s="3"/>
      <c r="X14" s="3"/>
    </row>
    <row r="15" spans="1:32">
      <c r="T15" s="3"/>
      <c r="U15" s="3"/>
      <c r="V15" s="3"/>
      <c r="W15" s="3"/>
      <c r="X15" s="3"/>
    </row>
  </sheetData>
  <mergeCells count="12">
    <mergeCell ref="A1:AF1"/>
    <mergeCell ref="A2:AF2"/>
    <mergeCell ref="A3:A5"/>
    <mergeCell ref="G3:G5"/>
    <mergeCell ref="P3:P5"/>
    <mergeCell ref="Y3:AB4"/>
    <mergeCell ref="AC3:AF4"/>
    <mergeCell ref="H3:J4"/>
    <mergeCell ref="Q3:S4"/>
    <mergeCell ref="T3:X4"/>
    <mergeCell ref="B3:F4"/>
    <mergeCell ref="K3:O4"/>
  </mergeCells>
  <phoneticPr fontId="22" type="noConversion"/>
  <printOptions horizontalCentered="1"/>
  <pageMargins left="0.59055118110236227" right="0.47244094488188981" top="0.78740157480314965" bottom="0.70866141732283472" header="0.51181102362204722" footer="0.51181102362204722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W11"/>
  <sheetViews>
    <sheetView tabSelected="1" view="pageBreakPreview" workbookViewId="0">
      <selection activeCell="I8" sqref="I8"/>
    </sheetView>
  </sheetViews>
  <sheetFormatPr defaultColWidth="9" defaultRowHeight="13.5"/>
  <cols>
    <col min="1" max="1" width="12.75" style="4" customWidth="1"/>
    <col min="8" max="8" width="7" customWidth="1"/>
    <col min="9" max="9" width="6.875" customWidth="1"/>
    <col min="10" max="10" width="7" customWidth="1"/>
    <col min="11" max="11" width="6.875" customWidth="1"/>
    <col min="12" max="12" width="7.375" customWidth="1"/>
    <col min="13" max="13" width="6.75" customWidth="1"/>
    <col min="14" max="14" width="7" customWidth="1"/>
    <col min="15" max="15" width="7.25" customWidth="1"/>
    <col min="16" max="16" width="9.375" customWidth="1"/>
    <col min="17" max="17" width="5.75" customWidth="1"/>
    <col min="18" max="18" width="7.5" customWidth="1"/>
    <col min="19" max="19" width="7.125" customWidth="1"/>
  </cols>
  <sheetData>
    <row r="1" spans="1:23" ht="30" customHeight="1">
      <c r="A1" s="55" t="s">
        <v>63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</row>
    <row r="2" spans="1:23" ht="42" customHeight="1">
      <c r="A2" s="106" t="s">
        <v>64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</row>
    <row r="3" spans="1:23" ht="23.25" customHeight="1">
      <c r="A3" s="118" t="s">
        <v>22</v>
      </c>
      <c r="B3" s="107" t="s">
        <v>65</v>
      </c>
      <c r="C3" s="108"/>
      <c r="D3" s="109"/>
      <c r="E3" s="107" t="s">
        <v>66</v>
      </c>
      <c r="F3" s="108"/>
      <c r="G3" s="109"/>
      <c r="H3" s="107" t="s">
        <v>67</v>
      </c>
      <c r="I3" s="108"/>
      <c r="J3" s="109"/>
      <c r="K3" s="110" t="s">
        <v>68</v>
      </c>
      <c r="L3" s="111"/>
      <c r="M3" s="111"/>
      <c r="N3" s="111"/>
      <c r="O3" s="111"/>
      <c r="P3" s="81" t="s">
        <v>75</v>
      </c>
      <c r="Q3" s="82"/>
      <c r="R3" s="82"/>
      <c r="S3" s="82"/>
      <c r="T3" s="112" t="s">
        <v>47</v>
      </c>
      <c r="U3" s="112"/>
      <c r="V3" s="112"/>
      <c r="W3" s="112"/>
    </row>
    <row r="4" spans="1:23" ht="23.25" customHeight="1">
      <c r="A4" s="118"/>
      <c r="B4" s="113"/>
      <c r="C4" s="114"/>
      <c r="D4" s="115"/>
      <c r="E4" s="113"/>
      <c r="F4" s="114"/>
      <c r="G4" s="115"/>
      <c r="H4" s="113"/>
      <c r="I4" s="114"/>
      <c r="J4" s="115"/>
      <c r="K4" s="110" t="s">
        <v>69</v>
      </c>
      <c r="L4" s="111"/>
      <c r="M4" s="111"/>
      <c r="N4" s="111"/>
      <c r="O4" s="111"/>
      <c r="P4" s="88"/>
      <c r="Q4" s="89"/>
      <c r="R4" s="89"/>
      <c r="S4" s="89"/>
      <c r="T4" s="112"/>
      <c r="U4" s="112"/>
      <c r="V4" s="112"/>
      <c r="W4" s="112"/>
    </row>
    <row r="5" spans="1:23" ht="23.25" customHeight="1">
      <c r="A5" s="118"/>
      <c r="B5" s="116" t="s">
        <v>34</v>
      </c>
      <c r="C5" s="116" t="s">
        <v>32</v>
      </c>
      <c r="D5" s="116" t="s">
        <v>33</v>
      </c>
      <c r="E5" s="116" t="s">
        <v>34</v>
      </c>
      <c r="F5" s="116" t="s">
        <v>32</v>
      </c>
      <c r="G5" s="116" t="s">
        <v>33</v>
      </c>
      <c r="H5" s="116" t="s">
        <v>34</v>
      </c>
      <c r="I5" s="116" t="s">
        <v>32</v>
      </c>
      <c r="J5" s="116" t="s">
        <v>33</v>
      </c>
      <c r="K5" s="116" t="s">
        <v>34</v>
      </c>
      <c r="L5" s="116" t="s">
        <v>8</v>
      </c>
      <c r="M5" s="116" t="s">
        <v>9</v>
      </c>
      <c r="N5" s="116" t="s">
        <v>10</v>
      </c>
      <c r="O5" s="117" t="s">
        <v>11</v>
      </c>
      <c r="P5" s="116" t="s">
        <v>34</v>
      </c>
      <c r="Q5" s="116" t="s">
        <v>8</v>
      </c>
      <c r="R5" s="116" t="s">
        <v>9</v>
      </c>
      <c r="S5" s="117" t="s">
        <v>10</v>
      </c>
      <c r="T5" s="117" t="s">
        <v>34</v>
      </c>
      <c r="U5" s="117" t="s">
        <v>8</v>
      </c>
      <c r="V5" s="117" t="s">
        <v>9</v>
      </c>
      <c r="W5" s="117" t="s">
        <v>10</v>
      </c>
    </row>
    <row r="6" spans="1:23" ht="30" customHeight="1">
      <c r="A6" s="120" t="s">
        <v>12</v>
      </c>
      <c r="B6" s="64">
        <f>SUM(C6:D6)</f>
        <v>132765</v>
      </c>
      <c r="C6" s="64">
        <f>SUM(C7:C10)</f>
        <v>93013</v>
      </c>
      <c r="D6" s="64">
        <f>SUM(D7:D10)</f>
        <v>39752</v>
      </c>
      <c r="E6" s="120">
        <f t="shared" ref="E6:O6" si="0">SUM(E7:E10)</f>
        <v>79720</v>
      </c>
      <c r="F6" s="120">
        <f t="shared" si="0"/>
        <v>56384</v>
      </c>
      <c r="G6" s="120">
        <f t="shared" si="0"/>
        <v>23336</v>
      </c>
      <c r="H6" s="120">
        <f t="shared" si="0"/>
        <v>53045</v>
      </c>
      <c r="I6" s="120">
        <f t="shared" si="0"/>
        <v>36629</v>
      </c>
      <c r="J6" s="120">
        <f t="shared" si="0"/>
        <v>16416</v>
      </c>
      <c r="K6" s="121">
        <f t="shared" si="0"/>
        <v>2815</v>
      </c>
      <c r="L6" s="121">
        <f t="shared" si="0"/>
        <v>1515</v>
      </c>
      <c r="M6" s="121">
        <f t="shared" si="0"/>
        <v>658</v>
      </c>
      <c r="N6" s="121">
        <f t="shared" si="0"/>
        <v>230</v>
      </c>
      <c r="O6" s="121">
        <f t="shared" si="0"/>
        <v>412</v>
      </c>
      <c r="P6" s="122">
        <f>SUM(Q6:S6)</f>
        <v>2373.2800000000002</v>
      </c>
      <c r="Q6" s="121">
        <f>SUM(Q7:Q9)</f>
        <v>1515</v>
      </c>
      <c r="R6" s="121">
        <f>SUM(R7:R9)</f>
        <v>641</v>
      </c>
      <c r="S6" s="123">
        <f>SUM(S7:S10)</f>
        <v>217.28</v>
      </c>
      <c r="T6" s="123">
        <f t="shared" ref="T6:T11" si="1">SUM(U6:W6)</f>
        <v>29.72</v>
      </c>
      <c r="U6" s="121">
        <f t="shared" ref="U6:W6" si="2">SUM(U7:U10)</f>
        <v>0</v>
      </c>
      <c r="V6" s="121">
        <f t="shared" si="2"/>
        <v>17</v>
      </c>
      <c r="W6" s="123">
        <f t="shared" si="2"/>
        <v>12.72</v>
      </c>
    </row>
    <row r="7" spans="1:23" ht="30" customHeight="1">
      <c r="A7" s="120" t="s">
        <v>13</v>
      </c>
      <c r="B7" s="64">
        <f>SUM(C7:D7)</f>
        <v>32164</v>
      </c>
      <c r="C7" s="119">
        <v>22457</v>
      </c>
      <c r="D7" s="119">
        <v>9707</v>
      </c>
      <c r="E7" s="120">
        <f t="shared" ref="E7:E9" si="3">SUM(F7:G7)</f>
        <v>14832</v>
      </c>
      <c r="F7" s="120">
        <f t="shared" ref="F7:G9" si="4">C7-I7</f>
        <v>10038</v>
      </c>
      <c r="G7" s="120">
        <f t="shared" si="4"/>
        <v>4794</v>
      </c>
      <c r="H7" s="120">
        <f t="shared" ref="H7:H8" si="5">SUM(I7:J7)</f>
        <v>17332</v>
      </c>
      <c r="I7" s="120">
        <v>12419</v>
      </c>
      <c r="J7" s="120">
        <v>4913</v>
      </c>
      <c r="K7" s="121">
        <f>SUM(L7:O7)</f>
        <v>675</v>
      </c>
      <c r="L7" s="121">
        <v>317</v>
      </c>
      <c r="M7" s="121">
        <v>179</v>
      </c>
      <c r="N7" s="121">
        <v>71</v>
      </c>
      <c r="O7" s="121">
        <f>M7-N7</f>
        <v>108</v>
      </c>
      <c r="P7" s="123">
        <f>SUM(Q7:S7)</f>
        <v>552.76</v>
      </c>
      <c r="Q7" s="121">
        <v>317</v>
      </c>
      <c r="R7" s="121">
        <v>174</v>
      </c>
      <c r="S7" s="123">
        <v>61.76</v>
      </c>
      <c r="T7" s="123">
        <f t="shared" si="1"/>
        <v>14.24</v>
      </c>
      <c r="U7" s="121">
        <f t="shared" ref="U7:W11" si="6">L7-Q7</f>
        <v>0</v>
      </c>
      <c r="V7" s="121">
        <f t="shared" si="6"/>
        <v>5</v>
      </c>
      <c r="W7" s="123">
        <f t="shared" si="6"/>
        <v>9.24</v>
      </c>
    </row>
    <row r="8" spans="1:23" ht="30" customHeight="1">
      <c r="A8" s="120" t="s">
        <v>14</v>
      </c>
      <c r="B8" s="64">
        <f>SUM(C8:D8)</f>
        <v>93660</v>
      </c>
      <c r="C8" s="119">
        <f>65709-160</f>
        <v>65549</v>
      </c>
      <c r="D8" s="119">
        <f>28159-48</f>
        <v>28111</v>
      </c>
      <c r="E8" s="120">
        <f t="shared" si="3"/>
        <v>58155</v>
      </c>
      <c r="F8" s="120">
        <f t="shared" si="4"/>
        <v>41499</v>
      </c>
      <c r="G8" s="120">
        <f t="shared" si="4"/>
        <v>16656</v>
      </c>
      <c r="H8" s="120">
        <f t="shared" si="5"/>
        <v>35505</v>
      </c>
      <c r="I8" s="120">
        <f>24210-I10</f>
        <v>24050</v>
      </c>
      <c r="J8" s="120">
        <f>11503-48</f>
        <v>11455</v>
      </c>
      <c r="K8" s="121">
        <f>SUM(L8:O8)</f>
        <v>1982</v>
      </c>
      <c r="L8" s="121">
        <f>1092-L10</f>
        <v>1086</v>
      </c>
      <c r="M8" s="121">
        <f>451-M10</f>
        <v>448</v>
      </c>
      <c r="N8" s="121">
        <f>159-N10</f>
        <v>156</v>
      </c>
      <c r="O8" s="121">
        <f>451-N8-N10</f>
        <v>292</v>
      </c>
      <c r="P8" s="123">
        <f>SUM(Q8:S8)</f>
        <v>1672.52</v>
      </c>
      <c r="Q8" s="121">
        <v>1092</v>
      </c>
      <c r="R8" s="121">
        <v>437</v>
      </c>
      <c r="S8" s="123">
        <v>143.52000000000001</v>
      </c>
      <c r="T8" s="123">
        <f t="shared" si="1"/>
        <v>17.48</v>
      </c>
      <c r="U8" s="121">
        <f t="shared" si="6"/>
        <v>-6</v>
      </c>
      <c r="V8" s="121">
        <f t="shared" si="6"/>
        <v>11</v>
      </c>
      <c r="W8" s="123">
        <f t="shared" si="6"/>
        <v>12.48</v>
      </c>
    </row>
    <row r="9" spans="1:23" ht="30" customHeight="1">
      <c r="A9" s="120" t="s">
        <v>15</v>
      </c>
      <c r="B9" s="64">
        <f>SUM(C9:D9)</f>
        <v>6733</v>
      </c>
      <c r="C9" s="119">
        <v>4847</v>
      </c>
      <c r="D9" s="119">
        <v>1886</v>
      </c>
      <c r="E9" s="120">
        <f t="shared" si="3"/>
        <v>6733</v>
      </c>
      <c r="F9" s="120">
        <f t="shared" si="4"/>
        <v>4847</v>
      </c>
      <c r="G9" s="120">
        <f t="shared" si="4"/>
        <v>1886</v>
      </c>
      <c r="H9" s="120"/>
      <c r="I9" s="120"/>
      <c r="J9" s="120"/>
      <c r="K9" s="121">
        <f>SUM(L9:O9)</f>
        <v>146</v>
      </c>
      <c r="L9" s="121">
        <v>106</v>
      </c>
      <c r="M9" s="121">
        <v>28</v>
      </c>
      <c r="N9" s="121"/>
      <c r="O9" s="121">
        <v>12</v>
      </c>
      <c r="P9" s="121">
        <f>SUM(Q9:S9)</f>
        <v>136</v>
      </c>
      <c r="Q9" s="121">
        <v>106</v>
      </c>
      <c r="R9" s="121">
        <v>30</v>
      </c>
      <c r="S9" s="124"/>
      <c r="T9" s="121">
        <f t="shared" si="1"/>
        <v>-2</v>
      </c>
      <c r="U9" s="121">
        <f t="shared" si="6"/>
        <v>0</v>
      </c>
      <c r="V9" s="121">
        <f t="shared" si="6"/>
        <v>-2</v>
      </c>
      <c r="W9" s="123">
        <f t="shared" si="6"/>
        <v>0</v>
      </c>
    </row>
    <row r="10" spans="1:23" ht="30" customHeight="1">
      <c r="A10" s="120" t="s">
        <v>16</v>
      </c>
      <c r="B10" s="64">
        <f>SUM(C10:F10)</f>
        <v>208</v>
      </c>
      <c r="C10" s="119">
        <f>SUM(C11:C11)</f>
        <v>160</v>
      </c>
      <c r="D10" s="119">
        <f>SUM(D11:D11)</f>
        <v>48</v>
      </c>
      <c r="E10" s="120"/>
      <c r="F10" s="120"/>
      <c r="G10" s="120"/>
      <c r="H10" s="64">
        <f>SUM(I10:J10)</f>
        <v>208</v>
      </c>
      <c r="I10" s="119">
        <f>SUM(I11:I11)</f>
        <v>160</v>
      </c>
      <c r="J10" s="119">
        <f>SUM(J11:J11)</f>
        <v>48</v>
      </c>
      <c r="K10" s="125">
        <f t="shared" ref="K10:N10" si="7">K11</f>
        <v>12</v>
      </c>
      <c r="L10" s="125">
        <f t="shared" si="7"/>
        <v>6</v>
      </c>
      <c r="M10" s="125">
        <f t="shared" si="7"/>
        <v>3</v>
      </c>
      <c r="N10" s="125">
        <f t="shared" si="7"/>
        <v>3</v>
      </c>
      <c r="O10" s="121"/>
      <c r="P10" s="121">
        <v>12</v>
      </c>
      <c r="Q10" s="119"/>
      <c r="R10" s="125"/>
      <c r="S10" s="121">
        <v>12</v>
      </c>
      <c r="T10" s="121">
        <f t="shared" si="1"/>
        <v>0</v>
      </c>
      <c r="U10" s="121">
        <f t="shared" si="6"/>
        <v>6</v>
      </c>
      <c r="V10" s="121">
        <f t="shared" si="6"/>
        <v>3</v>
      </c>
      <c r="W10" s="123">
        <f t="shared" si="6"/>
        <v>-9</v>
      </c>
    </row>
    <row r="11" spans="1:23" ht="30" customHeight="1">
      <c r="A11" s="120" t="s">
        <v>19</v>
      </c>
      <c r="B11" s="64">
        <f>SUM(C11:F11)</f>
        <v>208</v>
      </c>
      <c r="C11" s="119">
        <v>160</v>
      </c>
      <c r="D11" s="119">
        <v>48</v>
      </c>
      <c r="E11" s="120"/>
      <c r="F11" s="120"/>
      <c r="G11" s="120"/>
      <c r="H11" s="64">
        <f>SUM(I11:J11)</f>
        <v>208</v>
      </c>
      <c r="I11" s="119">
        <v>160</v>
      </c>
      <c r="J11" s="119">
        <v>48</v>
      </c>
      <c r="K11" s="125">
        <v>12</v>
      </c>
      <c r="L11" s="125">
        <v>6</v>
      </c>
      <c r="M11" s="125">
        <v>3</v>
      </c>
      <c r="N11" s="119">
        <v>3</v>
      </c>
      <c r="O11" s="121"/>
      <c r="P11" s="121">
        <v>12</v>
      </c>
      <c r="Q11" s="119"/>
      <c r="R11" s="124"/>
      <c r="S11" s="121">
        <v>12</v>
      </c>
      <c r="T11" s="121">
        <f t="shared" si="1"/>
        <v>0</v>
      </c>
      <c r="U11" s="121">
        <f t="shared" si="6"/>
        <v>6</v>
      </c>
      <c r="V11" s="121">
        <f t="shared" si="6"/>
        <v>3</v>
      </c>
      <c r="W11" s="123">
        <f t="shared" si="6"/>
        <v>-9</v>
      </c>
    </row>
  </sheetData>
  <mergeCells count="10">
    <mergeCell ref="A1:W1"/>
    <mergeCell ref="A2:W2"/>
    <mergeCell ref="K3:O3"/>
    <mergeCell ref="K4:O4"/>
    <mergeCell ref="A3:A5"/>
    <mergeCell ref="B3:D4"/>
    <mergeCell ref="E3:G4"/>
    <mergeCell ref="H3:J4"/>
    <mergeCell ref="P3:S4"/>
    <mergeCell ref="T3:W4"/>
  </mergeCells>
  <phoneticPr fontId="22" type="noConversion"/>
  <printOptions horizontalCentered="1"/>
  <pageMargins left="0.59055118110236227" right="0.47244094488188981" top="0.78740157480314965" bottom="0.70866141732283472" header="0.51181102362204722" footer="0.51181102362204722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测算总表</vt:lpstr>
      <vt:lpstr>2020市级公用经费测算</vt:lpstr>
      <vt:lpstr>分配总表1</vt:lpstr>
      <vt:lpstr>测算总表1</vt:lpstr>
      <vt:lpstr>2021公用经费</vt:lpstr>
      <vt:lpstr>生活补助</vt:lpstr>
      <vt:lpstr>校舍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2021-09-01T07:20:19Z</cp:lastPrinted>
  <dcterms:created xsi:type="dcterms:W3CDTF">2018-07-26T06:55:00Z</dcterms:created>
  <dcterms:modified xsi:type="dcterms:W3CDTF">2021-09-01T07:42:20Z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2FCB637AF26343D3988EF80AD53F3C41</vt:lpwstr>
  </property>
</Properties>
</file>